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ThisWorkbook" autoCompressPictures="0" defaultThemeVersion="124226"/>
  <bookViews>
    <workbookView xWindow="120" yWindow="15" windowWidth="15195" windowHeight="8205"/>
  </bookViews>
  <sheets>
    <sheet name="BAC Calc" sheetId="4" r:id="rId1"/>
    <sheet name="BAC Vs. Time" sheetId="5" r:id="rId2"/>
    <sheet name="Background" sheetId="3" r:id="rId3"/>
    <sheet name="Pulldown Info" sheetId="2" state="hidden" r:id="rId4"/>
  </sheets>
  <definedNames>
    <definedName name="Drinker_Type">'Pulldown Info'!$B$2:$B$4</definedName>
    <definedName name="_xlnm.Print_Area" localSheetId="0">'BAC Calc'!$A$1:$D$33</definedName>
    <definedName name="Sex">'Pulldown Info'!$A$2:$A$3</definedName>
  </definedNames>
  <calcPr calcId="144525" concurrentCalc="0"/>
  <extLst>
    <ext xmlns:mx="http://schemas.microsoft.com/office/mac/excel/2008/main" uri="{7523E5D3-25F3-A5E0-1632-64F254C22452}">
      <mx:ArchID Flags="2"/>
    </ext>
  </extLst>
</workbook>
</file>

<file path=xl/calcChain.xml><?xml version="1.0" encoding="utf-8"?>
<calcChain xmlns="http://schemas.openxmlformats.org/spreadsheetml/2006/main">
  <c r="B17" i="4" l="1"/>
  <c r="D23" i="3"/>
  <c r="D21" i="3"/>
  <c r="D22" i="3"/>
  <c r="D8" i="3"/>
  <c r="D18" i="3"/>
  <c r="F18" i="3"/>
  <c r="D25" i="3"/>
  <c r="D19" i="3"/>
  <c r="O2" i="5"/>
  <c r="D28" i="5"/>
  <c r="N3" i="5"/>
  <c r="O3" i="5"/>
  <c r="P2" i="5"/>
  <c r="D50" i="5"/>
  <c r="N4" i="5"/>
  <c r="O4" i="5"/>
  <c r="P3" i="5"/>
  <c r="D51" i="5"/>
  <c r="N5" i="5"/>
  <c r="O5" i="5"/>
  <c r="P4" i="5"/>
  <c r="D52" i="5"/>
  <c r="N6" i="5"/>
  <c r="O6" i="5"/>
  <c r="P5" i="5"/>
  <c r="D53" i="5"/>
  <c r="N7" i="5"/>
  <c r="O7" i="5"/>
  <c r="P6" i="5"/>
  <c r="D54" i="5"/>
  <c r="N8" i="5"/>
  <c r="O8" i="5"/>
  <c r="P7" i="5"/>
  <c r="D55" i="5"/>
  <c r="N9" i="5"/>
  <c r="O9" i="5"/>
  <c r="P8" i="5"/>
  <c r="D56" i="5"/>
  <c r="N10" i="5"/>
  <c r="O10" i="5"/>
  <c r="P9" i="5"/>
  <c r="D57" i="5"/>
  <c r="N11" i="5"/>
  <c r="O11" i="5"/>
  <c r="P10" i="5"/>
  <c r="D58" i="5"/>
  <c r="N12" i="5"/>
  <c r="O12" i="5"/>
  <c r="P11" i="5"/>
  <c r="D59" i="5"/>
  <c r="N13" i="5"/>
  <c r="O13" i="5"/>
  <c r="P12" i="5"/>
  <c r="D60" i="5"/>
  <c r="N14" i="5"/>
  <c r="O14" i="5"/>
  <c r="P13" i="5"/>
  <c r="D61" i="5"/>
  <c r="N15" i="5"/>
  <c r="O15" i="5"/>
  <c r="P14" i="5"/>
  <c r="D62" i="5"/>
  <c r="N16" i="5"/>
  <c r="O16" i="5"/>
  <c r="P15" i="5"/>
  <c r="D63" i="5"/>
  <c r="N17" i="5"/>
  <c r="O17" i="5"/>
  <c r="P16" i="5"/>
  <c r="D64" i="5"/>
  <c r="N18" i="5"/>
  <c r="O18" i="5"/>
  <c r="P17" i="5"/>
  <c r="D65" i="5"/>
  <c r="N19" i="5"/>
  <c r="O19" i="5"/>
  <c r="P18" i="5"/>
  <c r="D66" i="5"/>
  <c r="N20" i="5"/>
  <c r="O20" i="5"/>
  <c r="P19" i="5"/>
  <c r="D67" i="5"/>
  <c r="N21" i="5"/>
  <c r="O21" i="5"/>
  <c r="P20" i="5"/>
  <c r="D68" i="5"/>
  <c r="N22" i="5"/>
  <c r="O22" i="5"/>
  <c r="P21" i="5"/>
  <c r="D69" i="5"/>
  <c r="N23" i="5"/>
  <c r="O23" i="5"/>
  <c r="P22" i="5"/>
  <c r="D70" i="5"/>
  <c r="N24" i="5"/>
  <c r="O24" i="5"/>
  <c r="P23" i="5"/>
  <c r="D71" i="5"/>
  <c r="N25" i="5"/>
  <c r="O25" i="5"/>
  <c r="P24" i="5"/>
  <c r="D72" i="5"/>
  <c r="N26" i="5"/>
  <c r="O26" i="5"/>
  <c r="P25" i="5"/>
  <c r="D73" i="5"/>
  <c r="P26" i="5"/>
  <c r="D74" i="5"/>
  <c r="D75" i="5"/>
  <c r="F28" i="5"/>
  <c r="H28" i="5"/>
  <c r="D27" i="5"/>
  <c r="Q2" i="5"/>
  <c r="Q3" i="5"/>
  <c r="E50" i="5"/>
  <c r="Q4" i="5"/>
  <c r="E51" i="5"/>
  <c r="Q5" i="5"/>
  <c r="E52" i="5"/>
  <c r="Q6" i="5"/>
  <c r="E53" i="5"/>
  <c r="Q7" i="5"/>
  <c r="E54" i="5"/>
  <c r="Q8" i="5"/>
  <c r="E55" i="5"/>
  <c r="Q9" i="5"/>
  <c r="E56" i="5"/>
  <c r="Q10" i="5"/>
  <c r="E57" i="5"/>
  <c r="Q11" i="5"/>
  <c r="E58" i="5"/>
  <c r="Q12" i="5"/>
  <c r="E59" i="5"/>
  <c r="Q13" i="5"/>
  <c r="E60" i="5"/>
  <c r="Q14" i="5"/>
  <c r="E61" i="5"/>
  <c r="Q15" i="5"/>
  <c r="E62" i="5"/>
  <c r="Q16" i="5"/>
  <c r="E63" i="5"/>
  <c r="Q17" i="5"/>
  <c r="E64" i="5"/>
  <c r="Q18" i="5"/>
  <c r="E65" i="5"/>
  <c r="Q19" i="5"/>
  <c r="E66" i="5"/>
  <c r="Q20" i="5"/>
  <c r="E67" i="5"/>
  <c r="Q21" i="5"/>
  <c r="E68" i="5"/>
  <c r="Q22" i="5"/>
  <c r="E69" i="5"/>
  <c r="Q23" i="5"/>
  <c r="E70" i="5"/>
  <c r="Q24" i="5"/>
  <c r="E71" i="5"/>
  <c r="Q25" i="5"/>
  <c r="E72" i="5"/>
  <c r="Q26" i="5"/>
  <c r="E73" i="5"/>
  <c r="E74" i="5"/>
  <c r="E75" i="5"/>
  <c r="F27" i="5"/>
  <c r="H27" i="5"/>
  <c r="D26" i="5"/>
  <c r="A51" i="5"/>
  <c r="A52" i="5"/>
  <c r="A53" i="5"/>
  <c r="A54" i="5"/>
  <c r="A55" i="5"/>
  <c r="A56" i="5"/>
  <c r="A57" i="5"/>
  <c r="A58" i="5"/>
  <c r="A59" i="5"/>
  <c r="A60" i="5"/>
  <c r="A61" i="5"/>
  <c r="A62" i="5"/>
  <c r="A63" i="5"/>
  <c r="A64" i="5"/>
  <c r="A65" i="5"/>
  <c r="A66" i="5"/>
  <c r="A67" i="5"/>
  <c r="A68" i="5"/>
  <c r="A69" i="5"/>
  <c r="A70" i="5"/>
  <c r="A71" i="5"/>
  <c r="A72" i="5"/>
  <c r="A73" i="5"/>
  <c r="A74" i="5"/>
  <c r="C50" i="5"/>
  <c r="C51" i="5"/>
  <c r="C52" i="5"/>
  <c r="C53" i="5"/>
  <c r="C54" i="5"/>
  <c r="C55" i="5"/>
  <c r="C56" i="5"/>
  <c r="C57" i="5"/>
  <c r="C58" i="5"/>
  <c r="C59" i="5"/>
  <c r="C60" i="5"/>
  <c r="C61" i="5"/>
  <c r="C62" i="5"/>
  <c r="C63" i="5"/>
  <c r="C64" i="5"/>
  <c r="C65" i="5"/>
  <c r="C66" i="5"/>
  <c r="C67" i="5"/>
  <c r="C68" i="5"/>
  <c r="C69" i="5"/>
  <c r="C70" i="5"/>
  <c r="C71" i="5"/>
  <c r="C72" i="5"/>
  <c r="C73" i="5"/>
  <c r="C74" i="5"/>
  <c r="B50" i="5"/>
  <c r="B51" i="5"/>
  <c r="B52" i="5"/>
  <c r="B53" i="5"/>
  <c r="B54" i="5"/>
  <c r="B55" i="5"/>
  <c r="B56" i="5"/>
  <c r="B57" i="5"/>
  <c r="B58" i="5"/>
  <c r="B59" i="5"/>
  <c r="B60" i="5"/>
  <c r="B61" i="5"/>
  <c r="B62" i="5"/>
  <c r="B63" i="5"/>
  <c r="B64" i="5"/>
  <c r="B65" i="5"/>
  <c r="B66" i="5"/>
  <c r="B67" i="5"/>
  <c r="B68" i="5"/>
  <c r="B69" i="5"/>
  <c r="B70" i="5"/>
  <c r="B71" i="5"/>
  <c r="B72" i="5"/>
  <c r="B73" i="5"/>
  <c r="B74" i="5"/>
  <c r="D20" i="3"/>
  <c r="C8" i="2"/>
  <c r="F20" i="2"/>
  <c r="F18" i="2"/>
  <c r="F17" i="2"/>
  <c r="F15" i="2"/>
  <c r="F14" i="2"/>
  <c r="F13" i="2"/>
  <c r="F12" i="2"/>
  <c r="F9" i="2"/>
  <c r="F16" i="2"/>
  <c r="F11" i="2"/>
  <c r="F10" i="2"/>
  <c r="A21" i="4"/>
  <c r="F19" i="2"/>
  <c r="F13" i="3"/>
  <c r="B18" i="4"/>
</calcChain>
</file>

<file path=xl/sharedStrings.xml><?xml version="1.0" encoding="utf-8"?>
<sst xmlns="http://schemas.openxmlformats.org/spreadsheetml/2006/main" count="114" uniqueCount="95">
  <si>
    <t>Men</t>
  </si>
  <si>
    <t>Women</t>
  </si>
  <si>
    <t>1ml=</t>
  </si>
  <si>
    <t>oz</t>
  </si>
  <si>
    <r>
      <rPr>
        <sz val="11"/>
        <color theme="1"/>
        <rFont val="Symbol"/>
        <family val="1"/>
        <charset val="2"/>
      </rPr>
      <t xml:space="preserve">r </t>
    </r>
    <r>
      <rPr>
        <sz val="11"/>
        <color theme="1"/>
        <rFont val="Calibri"/>
        <family val="2"/>
        <scheme val="minor"/>
      </rPr>
      <t>of C</t>
    </r>
    <r>
      <rPr>
        <vertAlign val="subscript"/>
        <sz val="11"/>
        <color theme="1"/>
        <rFont val="Calibri"/>
        <family val="2"/>
        <scheme val="minor"/>
      </rPr>
      <t>2</t>
    </r>
    <r>
      <rPr>
        <sz val="11"/>
        <color theme="1"/>
        <rFont val="Calibri"/>
        <family val="2"/>
        <scheme val="minor"/>
      </rPr>
      <t>H</t>
    </r>
    <r>
      <rPr>
        <vertAlign val="subscript"/>
        <sz val="11"/>
        <color theme="1"/>
        <rFont val="Calibri"/>
        <family val="2"/>
        <scheme val="minor"/>
      </rPr>
      <t>5</t>
    </r>
    <r>
      <rPr>
        <sz val="11"/>
        <color theme="1"/>
        <rFont val="Calibri"/>
        <family val="2"/>
        <scheme val="minor"/>
      </rPr>
      <t>OH =</t>
    </r>
  </si>
  <si>
    <t>g/ml</t>
  </si>
  <si>
    <t>Female</t>
  </si>
  <si>
    <t>Sex</t>
  </si>
  <si>
    <t>Male</t>
  </si>
  <si>
    <t>Are you Male or Female?</t>
  </si>
  <si>
    <t>How Much Do You Weigh in Pounds?</t>
  </si>
  <si>
    <t>How many Hours Has it Been?</t>
  </si>
  <si>
    <t>BAC =</t>
  </si>
  <si>
    <t>g/oz</t>
  </si>
  <si>
    <t>What is the % Alcohol?</t>
  </si>
  <si>
    <t>How Much Did You Have to Drink (in Ounces)?</t>
  </si>
  <si>
    <t>How Much Did You Have to Drink (in ounces)?</t>
  </si>
  <si>
    <t>1oz=</t>
  </si>
  <si>
    <t>ml</t>
  </si>
  <si>
    <t>1lb=</t>
  </si>
  <si>
    <t>1 Kg</t>
  </si>
  <si>
    <t>lbs</t>
  </si>
  <si>
    <t>ml H20/ml Blood=</t>
  </si>
  <si>
    <t>Conversion Units</t>
  </si>
  <si>
    <t>http://www.alcoholeducationproject.org/researchlinks/bac.htm</t>
  </si>
  <si>
    <t>BAC=</t>
  </si>
  <si>
    <r>
      <t>B</t>
    </r>
    <r>
      <rPr>
        <sz val="12"/>
        <color theme="1"/>
        <rFont val="Calibri"/>
        <family val="2"/>
        <scheme val="minor"/>
      </rPr>
      <t>= Metabolic rate (g/100 mL or g/210 L per hour)</t>
    </r>
  </si>
  <si>
    <t xml:space="preserve">National Highway Traffic Safety Administration. Computing a BAC Estimate. </t>
  </si>
  <si>
    <t>Are  you a heavy, moderate, or light drinker</t>
  </si>
  <si>
    <t>Heavy</t>
  </si>
  <si>
    <t xml:space="preserve">Moderate </t>
  </si>
  <si>
    <t>Light</t>
  </si>
  <si>
    <t>Drinker type</t>
  </si>
  <si>
    <t>Mod</t>
  </si>
  <si>
    <t>TBW=</t>
  </si>
  <si>
    <r>
      <t xml:space="preserve">TBW = </t>
    </r>
    <r>
      <rPr>
        <i/>
        <sz val="12"/>
        <color theme="1"/>
        <rFont val="Calibri"/>
        <family val="2"/>
        <scheme val="minor"/>
      </rPr>
      <t>Total Body Water TBW</t>
    </r>
    <r>
      <rPr>
        <b/>
        <i/>
        <sz val="12"/>
        <color theme="1"/>
        <rFont val="Calibri"/>
        <family val="2"/>
        <scheme val="minor"/>
      </rPr>
      <t xml:space="preserve"> </t>
    </r>
  </si>
  <si>
    <t>mean body weight percentage in water</t>
  </si>
  <si>
    <r>
      <t xml:space="preserve">Q= </t>
    </r>
    <r>
      <rPr>
        <sz val="12"/>
        <color rgb="FFFF0000"/>
        <rFont val="Calibri"/>
        <family val="2"/>
        <scheme val="minor"/>
      </rPr>
      <t>Quantity of Alcohol in Fluid Ounces</t>
    </r>
  </si>
  <si>
    <r>
      <t xml:space="preserve">P = </t>
    </r>
    <r>
      <rPr>
        <sz val="12"/>
        <color rgb="FFFF0000"/>
        <rFont val="Calibri"/>
        <family val="2"/>
        <scheme val="minor"/>
      </rPr>
      <t>Percent Alcohol rating</t>
    </r>
    <r>
      <rPr>
        <b/>
        <sz val="12"/>
        <color rgb="FFFF0000"/>
        <rFont val="Calibri"/>
        <family val="2"/>
        <scheme val="minor"/>
      </rPr>
      <t xml:space="preserve"> </t>
    </r>
  </si>
  <si>
    <r>
      <t xml:space="preserve">W= </t>
    </r>
    <r>
      <rPr>
        <sz val="12"/>
        <color rgb="FFFF0000"/>
        <rFont val="Calibri"/>
        <family val="2"/>
        <scheme val="minor"/>
      </rPr>
      <t>Weight (lbs)</t>
    </r>
  </si>
  <si>
    <r>
      <t xml:space="preserve">T= </t>
    </r>
    <r>
      <rPr>
        <sz val="12"/>
        <color rgb="FFFF0000"/>
        <rFont val="Calibri"/>
        <family val="2"/>
        <scheme val="minor"/>
      </rPr>
      <t>Time (Hr)</t>
    </r>
  </si>
  <si>
    <t>National Highway Traffic Safety Administration</t>
  </si>
  <si>
    <t>For more info please visit:</t>
  </si>
  <si>
    <t>http://dor.mo.gov/drivers/dwiinfo.php</t>
  </si>
  <si>
    <t>Blood Alcohol Content (BAC) Calculator</t>
  </si>
  <si>
    <t>Missouri's Limit BAC is .08 or higher regardless, whether your ability</t>
  </si>
  <si>
    <t xml:space="preserve"> to drive is actually impared or not.</t>
  </si>
  <si>
    <t>The limit is .02 for minors under 21 charged with a DWI</t>
  </si>
  <si>
    <t>B</t>
  </si>
  <si>
    <t>Type</t>
  </si>
  <si>
    <t>Other BAC Calculators</t>
  </si>
  <si>
    <t>TBW= 0.58 for females</t>
  </si>
  <si>
    <t>TBW= 0.49 for males</t>
  </si>
  <si>
    <t>B=  g/100 mL or g/210 L per hour=</t>
  </si>
  <si>
    <t>g of A/ounce</t>
  </si>
  <si>
    <t>B= 0.012 light, 0.017 moderate, or .02 heavy drinker</t>
  </si>
  <si>
    <t>http://www.brad21.org/effects_at_specific_bac.html</t>
  </si>
  <si>
    <t>No loss of coordination, slight euphoria and loss of shyness. Depressant effects are not apparent. Mildly relaxed and maybe a little lightheaded.</t>
  </si>
  <si>
    <t>Feeling of well-being, relaxation, lower inhibitions, sensation of warmth. Euphoria. Some minor impairment of reasoning and memory, lowering of caution. Your behavior may become exaggerated and emotions intensified (Good emotions are better, bad emotions are worse)</t>
  </si>
  <si>
    <t>Slight impairment of balance, speech, vision, reaction time, and hearing. Euphoria. Judgment and self-control are reduced, and caution, reason and memory are impaired, .08 is legally impaired and it is illegal to drive at this level. You will probably believe that you are functioning better than you really are.</t>
  </si>
  <si>
    <t>Significant impairment of motor coordination and loss of good judgment. Speech may be slurred; balance, vision, reaction time and hearing will be impaired. Euphoria.</t>
  </si>
  <si>
    <t>Gross motor impairment and lack of physical control. Blurred vision and major loss of balance. Euphoria is reduced and dysphoria (anxiety, restlessness) is beginning to appear. Judgment and perception are severely impaired.</t>
  </si>
  <si>
    <t>Felling dazed, confused or otherwise disoriented. May need help to stand or walk. If you injure yourself you may not feel the pain. Some people experience nausea and vomiting at this level. The gag reflex is impaired and you can choke if you do vomit. Blackouts are likely at this level so you may not remember what has happened.</t>
  </si>
  <si>
    <t xml:space="preserve">All mental, physical and sensory functions are severely impaired. Increased risk of asphyxiation from choking on vomit and of seriously injuring yourself by falls or other accidents.
</t>
  </si>
  <si>
    <t>STUPOR. You have little comprehension of where you are. You may pass out suddenly and be difficult to awaken.</t>
  </si>
  <si>
    <t xml:space="preserve">Coma is possible. This is the level of surgical anesthesia. </t>
  </si>
  <si>
    <t>Onset of coma, and possible death due to respiratory arrest.</t>
  </si>
  <si>
    <t>Dysphoria predominates, nausea may appear. The drinker has the appearance of a "sloppy drunk."</t>
  </si>
  <si>
    <t>Based on table of BAC Effects noted here</t>
  </si>
  <si>
    <t>Typically 0.012 is the conservative value (Can range from 0.001 - 0.025)</t>
  </si>
  <si>
    <t>BAC</t>
  </si>
  <si>
    <t>Sober Calc</t>
  </si>
  <si>
    <t>Time (hr)</t>
  </si>
  <si>
    <t>(.08) BAC Limit</t>
  </si>
  <si>
    <t>Drunk Calc</t>
  </si>
  <si>
    <t>Sober = (.00 BAC)</t>
  </si>
  <si>
    <t>Please note that this an estimate actualy BAC can vary based on other factors such as age, % body fat , amount of food eaten, physical condition,  and types of medications taken.</t>
  </si>
  <si>
    <t>This spreadsheet is intended to be used strictly as an aid for approximating one's blood alcohol content ("BAC"), and does not constitute acceptable legal justification for driving after drinking. In all cases, it is safest to never drive after drinking. By using this spreadsheet you assume all risk and responsibility.</t>
  </si>
  <si>
    <t>Click  here to see BAC over time chart</t>
  </si>
  <si>
    <t>Return to BAC Calc Page</t>
  </si>
  <si>
    <r>
      <t>B</t>
    </r>
    <r>
      <rPr>
        <sz val="12"/>
        <color rgb="FF0000FF"/>
        <rFont val="Calibri"/>
        <family val="2"/>
        <scheme val="minor"/>
      </rPr>
      <t>= Metabolic rate (g/100 mL or g/210 L per hour)</t>
    </r>
  </si>
  <si>
    <r>
      <t xml:space="preserve">Total Body Water TBW </t>
    </r>
    <r>
      <rPr>
        <i/>
        <sz val="12"/>
        <color rgb="FF0000FF"/>
        <rFont val="Calibri"/>
        <family val="2"/>
        <scheme val="minor"/>
      </rPr>
      <t>=(mean body weight percentage in water</t>
    </r>
    <r>
      <rPr>
        <sz val="12"/>
        <color rgb="FF0000FF"/>
        <rFont val="Times New Roman"/>
        <family val="1"/>
      </rPr>
      <t>)</t>
    </r>
    <r>
      <rPr>
        <i/>
        <sz val="12"/>
        <color rgb="FF0000FF"/>
        <rFont val="Calibri"/>
        <family val="2"/>
        <scheme val="minor"/>
      </rPr>
      <t>:</t>
    </r>
  </si>
  <si>
    <t>Return to BAC Calculator</t>
  </si>
  <si>
    <t>Click Background tab for more formula information</t>
  </si>
  <si>
    <t>BAC limit=</t>
  </si>
  <si>
    <t>Sober BAC=</t>
  </si>
  <si>
    <t>hr</t>
  </si>
  <si>
    <t>min</t>
  </si>
  <si>
    <t>BAC level at time = 0</t>
  </si>
  <si>
    <t>Time to get down to BAC Limit (hr) =</t>
  </si>
  <si>
    <r>
      <rPr>
        <b/>
        <sz val="16"/>
        <color theme="1"/>
        <rFont val="Calibri"/>
        <family val="2"/>
        <scheme val="minor"/>
      </rPr>
      <t>BAC  Effects</t>
    </r>
    <r>
      <rPr>
        <b/>
        <i/>
        <sz val="16"/>
        <color theme="1"/>
        <rFont val="Calibri"/>
        <family val="2"/>
        <scheme val="minor"/>
      </rPr>
      <t xml:space="preserve"> (Please note calculator rounds to 2 decimal places)</t>
    </r>
  </si>
  <si>
    <t>Negative % BAC = Sober (.00% = No Trace of Alcohol in Blood)</t>
  </si>
  <si>
    <t>Time Sobriety Reached (hr)=</t>
  </si>
  <si>
    <t>TBW= 0.49 for females</t>
  </si>
  <si>
    <t>TBW= 0.58 for males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</si>
</sst>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
  </numFmts>
  <fonts count="34" x14ac:knownFonts="1">
    <font>
      <sz val="11"/>
      <color theme="1"/>
      <name val="Calibri"/>
      <family val="2"/>
      <scheme val="minor"/>
    </font>
    <font>
      <sz val="12"/>
      <color theme="1"/>
      <name val="Calibri"/>
      <family val="2"/>
      <scheme val="minor"/>
    </font>
    <font>
      <u/>
      <sz val="11"/>
      <color theme="10"/>
      <name val="Calibri"/>
      <family val="2"/>
    </font>
    <font>
      <sz val="11"/>
      <color theme="1"/>
      <name val="Symbol"/>
      <family val="1"/>
      <charset val="2"/>
    </font>
    <font>
      <vertAlign val="subscript"/>
      <sz val="11"/>
      <color theme="1"/>
      <name val="Calibri"/>
      <family val="2"/>
      <scheme val="minor"/>
    </font>
    <font>
      <sz val="12"/>
      <color theme="1"/>
      <name val="Calibri"/>
      <family val="2"/>
      <scheme val="minor"/>
    </font>
    <font>
      <b/>
      <i/>
      <sz val="12"/>
      <color theme="1"/>
      <name val="Calibri"/>
      <family val="2"/>
      <scheme val="minor"/>
    </font>
    <font>
      <i/>
      <sz val="12"/>
      <color theme="1"/>
      <name val="Calibri"/>
      <family val="2"/>
      <scheme val="minor"/>
    </font>
    <font>
      <b/>
      <i/>
      <sz val="11"/>
      <color theme="1"/>
      <name val="Calibri"/>
      <family val="2"/>
      <scheme val="minor"/>
    </font>
    <font>
      <b/>
      <sz val="12"/>
      <color rgb="FFFF0000"/>
      <name val="Calibri"/>
      <family val="2"/>
      <scheme val="minor"/>
    </font>
    <font>
      <sz val="12"/>
      <color rgb="FFFF0000"/>
      <name val="Calibri"/>
      <family val="2"/>
      <scheme val="minor"/>
    </font>
    <font>
      <sz val="14"/>
      <color theme="1"/>
      <name val="Calibri"/>
      <family val="2"/>
      <scheme val="minor"/>
    </font>
    <font>
      <b/>
      <sz val="11"/>
      <color theme="1"/>
      <name val="Calibri"/>
      <family val="2"/>
      <scheme val="minor"/>
    </font>
    <font>
      <sz val="13"/>
      <color rgb="FF000000"/>
      <name val="Arial"/>
      <family val="2"/>
    </font>
    <font>
      <b/>
      <i/>
      <u/>
      <sz val="11"/>
      <color theme="10"/>
      <name val="Calibri"/>
      <family val="2"/>
    </font>
    <font>
      <b/>
      <i/>
      <sz val="11"/>
      <color rgb="FFFF0000"/>
      <name val="Calibri"/>
      <family val="2"/>
      <scheme val="minor"/>
    </font>
    <font>
      <u/>
      <sz val="11"/>
      <color theme="11"/>
      <name val="Calibri"/>
      <family val="2"/>
      <scheme val="minor"/>
    </font>
    <font>
      <sz val="8"/>
      <color rgb="FF000000"/>
      <name val="Calibri"/>
      <family val="2"/>
      <scheme val="minor"/>
    </font>
    <font>
      <sz val="8"/>
      <color theme="1"/>
      <name val="Calibri"/>
      <family val="2"/>
      <scheme val="minor"/>
    </font>
    <font>
      <sz val="8"/>
      <color theme="1"/>
      <name val="Calibri"/>
      <family val="2"/>
      <scheme val="minor"/>
    </font>
    <font>
      <sz val="8"/>
      <color rgb="FF000000"/>
      <name val="Calibri"/>
      <family val="2"/>
      <scheme val="minor"/>
    </font>
    <font>
      <i/>
      <sz val="10"/>
      <color theme="1"/>
      <name val="Calibri"/>
      <family val="2"/>
      <scheme val="minor"/>
    </font>
    <font>
      <b/>
      <sz val="16"/>
      <color theme="1"/>
      <name val="Calibri"/>
      <family val="2"/>
      <scheme val="minor"/>
    </font>
    <font>
      <b/>
      <sz val="11"/>
      <color rgb="FFFF0000"/>
      <name val="Calibri"/>
      <family val="2"/>
      <scheme val="minor"/>
    </font>
    <font>
      <b/>
      <sz val="11"/>
      <color theme="1"/>
      <name val="Arial"/>
      <family val="2"/>
    </font>
    <font>
      <b/>
      <i/>
      <sz val="11"/>
      <color rgb="FFFF0000"/>
      <name val="Arial"/>
      <family val="2"/>
    </font>
    <font>
      <b/>
      <u/>
      <sz val="12"/>
      <color theme="10"/>
      <name val="Calibri"/>
      <family val="2"/>
    </font>
    <font>
      <b/>
      <i/>
      <sz val="11"/>
      <color rgb="FF0000FF"/>
      <name val="Calibri"/>
      <family val="2"/>
      <scheme val="minor"/>
    </font>
    <font>
      <b/>
      <i/>
      <sz val="12"/>
      <color rgb="FF0000FF"/>
      <name val="Calibri"/>
      <family val="2"/>
      <scheme val="minor"/>
    </font>
    <font>
      <sz val="12"/>
      <color rgb="FF0000FF"/>
      <name val="Calibri"/>
      <family val="2"/>
      <scheme val="minor"/>
    </font>
    <font>
      <i/>
      <sz val="12"/>
      <color rgb="FF0000FF"/>
      <name val="Calibri"/>
      <family val="2"/>
      <scheme val="minor"/>
    </font>
    <font>
      <sz val="12"/>
      <color rgb="FF0000FF"/>
      <name val="Times New Roman"/>
      <family val="1"/>
    </font>
    <font>
      <b/>
      <i/>
      <u/>
      <sz val="12"/>
      <color theme="10"/>
      <name val="Calibri"/>
      <family val="2"/>
    </font>
    <font>
      <b/>
      <i/>
      <sz val="16"/>
      <color theme="1"/>
      <name val="Calibri"/>
      <family val="2"/>
      <scheme val="minor"/>
    </font>
  </fonts>
  <fills count="6">
    <fill>
      <patternFill patternType="none"/>
    </fill>
    <fill>
      <patternFill patternType="gray125"/>
    </fill>
    <fill>
      <patternFill patternType="solid">
        <fgColor rgb="FFFFFF00"/>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bgColor indexed="64"/>
      </patternFill>
    </fill>
  </fills>
  <borders count="28">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thin">
        <color auto="1"/>
      </top>
      <bottom style="thin">
        <color auto="1"/>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thick">
        <color auto="1"/>
      </left>
      <right/>
      <top style="thick">
        <color auto="1"/>
      </top>
      <bottom/>
      <diagonal/>
    </border>
    <border>
      <left/>
      <right/>
      <top style="thick">
        <color auto="1"/>
      </top>
      <bottom/>
      <diagonal/>
    </border>
    <border>
      <left style="thick">
        <color auto="1"/>
      </left>
      <right/>
      <top/>
      <bottom/>
      <diagonal/>
    </border>
    <border>
      <left style="thick">
        <color auto="1"/>
      </left>
      <right/>
      <top/>
      <bottom style="thick">
        <color auto="1"/>
      </bottom>
      <diagonal/>
    </border>
    <border>
      <left/>
      <right/>
      <top/>
      <bottom style="thick">
        <color auto="1"/>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right/>
      <top style="thick">
        <color auto="1"/>
      </top>
      <bottom style="thick">
        <color auto="1"/>
      </bottom>
      <diagonal/>
    </border>
    <border>
      <left style="double">
        <color auto="1"/>
      </left>
      <right/>
      <top style="thick">
        <color auto="1"/>
      </top>
      <bottom style="thick">
        <color auto="1"/>
      </bottom>
      <diagonal/>
    </border>
    <border>
      <left/>
      <right style="double">
        <color auto="1"/>
      </right>
      <top style="thick">
        <color auto="1"/>
      </top>
      <bottom style="thick">
        <color auto="1"/>
      </bottom>
      <diagonal/>
    </border>
    <border>
      <left/>
      <right/>
      <top style="thin">
        <color auto="1"/>
      </top>
      <bottom/>
      <diagonal/>
    </border>
    <border>
      <left/>
      <right/>
      <top style="medium">
        <color auto="1"/>
      </top>
      <bottom style="medium">
        <color auto="1"/>
      </bottom>
      <diagonal/>
    </border>
    <border>
      <left/>
      <right/>
      <top/>
      <bottom style="medium">
        <color auto="1"/>
      </bottom>
      <diagonal/>
    </border>
    <border>
      <left/>
      <right style="double">
        <color auto="1"/>
      </right>
      <top style="thick">
        <color auto="1"/>
      </top>
      <bottom/>
      <diagonal/>
    </border>
    <border>
      <left/>
      <right style="double">
        <color auto="1"/>
      </right>
      <top/>
      <bottom style="thick">
        <color auto="1"/>
      </bottom>
      <diagonal/>
    </border>
  </borders>
  <cellStyleXfs count="4">
    <xf numFmtId="0" fontId="0" fillId="0" borderId="0"/>
    <xf numFmtId="0" fontId="2" fillId="0" borderId="0" applyNumberFormat="0" applyFill="0" applyBorder="0" applyAlignment="0" applyProtection="0">
      <alignment vertical="top"/>
      <protection locked="0"/>
    </xf>
    <xf numFmtId="0" fontId="16" fillId="0" borderId="0" applyNumberFormat="0" applyFill="0" applyBorder="0" applyAlignment="0" applyProtection="0"/>
    <xf numFmtId="0" fontId="16" fillId="0" borderId="0" applyNumberFormat="0" applyFill="0" applyBorder="0" applyAlignment="0" applyProtection="0"/>
  </cellStyleXfs>
  <cellXfs count="107">
    <xf numFmtId="0" fontId="0" fillId="0" borderId="0" xfId="0"/>
    <xf numFmtId="0" fontId="0" fillId="0" borderId="0" xfId="0" applyAlignment="1">
      <alignment horizontal="center"/>
    </xf>
    <xf numFmtId="0" fontId="0" fillId="0" borderId="1" xfId="0" applyBorder="1" applyAlignment="1">
      <alignment horizontal="center"/>
    </xf>
    <xf numFmtId="0" fontId="0" fillId="2" borderId="1" xfId="0" applyFill="1" applyBorder="1" applyAlignment="1">
      <alignment horizontal="center"/>
    </xf>
    <xf numFmtId="0" fontId="0" fillId="0" borderId="0" xfId="0" applyAlignment="1">
      <alignment horizontal="right"/>
    </xf>
    <xf numFmtId="0" fontId="0" fillId="0" borderId="2" xfId="0" applyBorder="1" applyAlignment="1">
      <alignment horizontal="center"/>
    </xf>
    <xf numFmtId="0" fontId="0" fillId="0" borderId="3" xfId="0" applyBorder="1" applyAlignment="1">
      <alignment horizontal="center"/>
    </xf>
    <xf numFmtId="0" fontId="6" fillId="0" borderId="0" xfId="0" applyFont="1"/>
    <xf numFmtId="0" fontId="5" fillId="0" borderId="0" xfId="0" applyFont="1"/>
    <xf numFmtId="0" fontId="2" fillId="0" borderId="4" xfId="1" applyBorder="1" applyAlignment="1" applyProtection="1"/>
    <xf numFmtId="0" fontId="0" fillId="0" borderId="6" xfId="0" applyBorder="1"/>
    <xf numFmtId="0" fontId="2" fillId="0" borderId="7" xfId="1" applyBorder="1" applyAlignment="1" applyProtection="1"/>
    <xf numFmtId="0" fontId="0" fillId="0" borderId="8" xfId="0" applyBorder="1"/>
    <xf numFmtId="0" fontId="0" fillId="0" borderId="7" xfId="0" applyBorder="1"/>
    <xf numFmtId="0" fontId="11" fillId="0" borderId="7" xfId="0" applyFont="1" applyBorder="1"/>
    <xf numFmtId="0" fontId="0" fillId="0" borderId="11" xfId="0" applyBorder="1"/>
    <xf numFmtId="0" fontId="11" fillId="0" borderId="9" xfId="0" applyFont="1" applyBorder="1"/>
    <xf numFmtId="0" fontId="11" fillId="3" borderId="7" xfId="0" applyFont="1" applyFill="1" applyBorder="1"/>
    <xf numFmtId="0" fontId="0" fillId="3" borderId="7" xfId="0" applyFill="1" applyBorder="1"/>
    <xf numFmtId="0" fontId="0" fillId="3" borderId="0" xfId="0" applyFill="1" applyBorder="1"/>
    <xf numFmtId="0" fontId="0" fillId="3" borderId="0" xfId="0" applyFill="1" applyBorder="1" applyAlignment="1">
      <alignment horizontal="center"/>
    </xf>
    <xf numFmtId="0" fontId="0" fillId="3" borderId="5" xfId="0" applyFill="1" applyBorder="1"/>
    <xf numFmtId="0" fontId="9" fillId="3" borderId="8" xfId="0" applyFont="1" applyFill="1" applyBorder="1"/>
    <xf numFmtId="0" fontId="6" fillId="3" borderId="8" xfId="0" applyFont="1" applyFill="1" applyBorder="1"/>
    <xf numFmtId="0" fontId="7" fillId="3" borderId="8" xfId="0" applyFont="1" applyFill="1" applyBorder="1" applyAlignment="1">
      <alignment horizontal="left" indent="5"/>
    </xf>
    <xf numFmtId="0" fontId="8" fillId="3" borderId="8" xfId="0" applyFont="1" applyFill="1" applyBorder="1"/>
    <xf numFmtId="0" fontId="0" fillId="3" borderId="10" xfId="0" applyFill="1" applyBorder="1"/>
    <xf numFmtId="0" fontId="0" fillId="3" borderId="11" xfId="0" applyFill="1" applyBorder="1"/>
    <xf numFmtId="0" fontId="8" fillId="3" borderId="7" xfId="0" applyFont="1" applyFill="1" applyBorder="1" applyAlignment="1">
      <alignment horizontal="center"/>
    </xf>
    <xf numFmtId="0" fontId="8" fillId="3" borderId="7" xfId="0" applyFont="1" applyFill="1" applyBorder="1" applyAlignment="1">
      <alignment horizontal="right"/>
    </xf>
    <xf numFmtId="164" fontId="8" fillId="3" borderId="0" xfId="0" applyNumberFormat="1" applyFont="1" applyFill="1" applyBorder="1" applyAlignment="1">
      <alignment horizontal="center"/>
    </xf>
    <xf numFmtId="0" fontId="14" fillId="3" borderId="8" xfId="1" applyFont="1" applyFill="1" applyBorder="1" applyAlignment="1" applyProtection="1"/>
    <xf numFmtId="2" fontId="8" fillId="0" borderId="1" xfId="0" applyNumberFormat="1" applyFont="1" applyBorder="1" applyAlignment="1">
      <alignment horizontal="center"/>
    </xf>
    <xf numFmtId="0" fontId="12" fillId="0" borderId="1" xfId="0" applyFont="1" applyBorder="1" applyAlignment="1" applyProtection="1">
      <alignment horizontal="center"/>
      <protection locked="0"/>
    </xf>
    <xf numFmtId="10" fontId="12" fillId="0" borderId="1" xfId="0" applyNumberFormat="1" applyFont="1" applyBorder="1" applyAlignment="1" applyProtection="1">
      <alignment horizontal="center"/>
      <protection locked="0"/>
    </xf>
    <xf numFmtId="0" fontId="0" fillId="4" borderId="0" xfId="0" applyFill="1"/>
    <xf numFmtId="0" fontId="13" fillId="4" borderId="0" xfId="0" applyFont="1" applyFill="1"/>
    <xf numFmtId="0" fontId="8" fillId="3" borderId="7" xfId="0" applyFont="1" applyFill="1" applyBorder="1" applyAlignment="1">
      <alignment horizontal="left"/>
    </xf>
    <xf numFmtId="0" fontId="14" fillId="3" borderId="8" xfId="1" applyFont="1" applyFill="1" applyBorder="1" applyAlignment="1" applyProtection="1">
      <protection locked="0"/>
    </xf>
    <xf numFmtId="0" fontId="0" fillId="3" borderId="8" xfId="0" applyFill="1" applyBorder="1" applyProtection="1">
      <protection locked="0"/>
    </xf>
    <xf numFmtId="0" fontId="0" fillId="3" borderId="0" xfId="0" applyFill="1"/>
    <xf numFmtId="0" fontId="0" fillId="3" borderId="0" xfId="0" applyFill="1" applyBorder="1" applyAlignment="1" applyProtection="1">
      <alignment horizontal="center"/>
    </xf>
    <xf numFmtId="0" fontId="0" fillId="3" borderId="0" xfId="0" applyFill="1" applyBorder="1" applyProtection="1"/>
    <xf numFmtId="0" fontId="0" fillId="3" borderId="8" xfId="0" applyFill="1" applyBorder="1" applyProtection="1"/>
    <xf numFmtId="2" fontId="15" fillId="0" borderId="1" xfId="0" applyNumberFormat="1" applyFont="1" applyBorder="1" applyAlignment="1">
      <alignment horizontal="center"/>
    </xf>
    <xf numFmtId="0" fontId="17" fillId="0" borderId="1" xfId="0" applyFont="1" applyBorder="1" applyAlignment="1">
      <alignment vertical="top" wrapText="1"/>
    </xf>
    <xf numFmtId="0" fontId="18" fillId="0" borderId="1" xfId="0" applyFont="1" applyBorder="1" applyAlignment="1">
      <alignment vertical="top" wrapText="1"/>
    </xf>
    <xf numFmtId="0" fontId="18" fillId="0" borderId="1" xfId="0" applyFont="1" applyBorder="1" applyAlignment="1">
      <alignment vertical="top"/>
    </xf>
    <xf numFmtId="0" fontId="17" fillId="0" borderId="1" xfId="0" applyFont="1" applyBorder="1" applyAlignment="1">
      <alignment vertical="top"/>
    </xf>
    <xf numFmtId="0" fontId="18" fillId="0" borderId="1" xfId="0" applyFont="1" applyBorder="1"/>
    <xf numFmtId="164" fontId="0" fillId="0" borderId="1" xfId="0" applyNumberFormat="1" applyBorder="1" applyAlignment="1">
      <alignment horizontal="center"/>
    </xf>
    <xf numFmtId="0" fontId="19" fillId="0" borderId="0" xfId="0" applyFont="1" applyAlignment="1">
      <alignment horizontal="left" vertical="top" wrapText="1"/>
    </xf>
    <xf numFmtId="0" fontId="20" fillId="0" borderId="1" xfId="0" applyFont="1" applyBorder="1" applyAlignment="1">
      <alignment vertical="top" wrapText="1"/>
    </xf>
    <xf numFmtId="2" fontId="15" fillId="3" borderId="0" xfId="0" applyNumberFormat="1" applyFont="1" applyFill="1" applyBorder="1" applyAlignment="1">
      <alignment horizontal="center"/>
    </xf>
    <xf numFmtId="0" fontId="2" fillId="0" borderId="0" xfId="1" applyAlignment="1" applyProtection="1"/>
    <xf numFmtId="0" fontId="8" fillId="3" borderId="7" xfId="0" applyFont="1" applyFill="1" applyBorder="1" applyAlignment="1" applyProtection="1">
      <alignment horizontal="right"/>
    </xf>
    <xf numFmtId="2" fontId="15" fillId="3" borderId="0" xfId="0" applyNumberFormat="1" applyFont="1" applyFill="1" applyBorder="1" applyAlignment="1" applyProtection="1">
      <alignment horizontal="center"/>
    </xf>
    <xf numFmtId="0" fontId="21" fillId="3" borderId="8" xfId="0" applyFont="1" applyFill="1" applyBorder="1"/>
    <xf numFmtId="0" fontId="14" fillId="3" borderId="7" xfId="1" applyFont="1" applyFill="1" applyBorder="1" applyAlignment="1" applyProtection="1">
      <alignment horizontal="left"/>
      <protection locked="0"/>
    </xf>
    <xf numFmtId="0" fontId="14" fillId="3" borderId="7" xfId="1" applyFont="1" applyFill="1" applyBorder="1" applyAlignment="1" applyProtection="1">
      <protection locked="0"/>
    </xf>
    <xf numFmtId="0" fontId="23" fillId="0" borderId="1" xfId="0" applyFont="1" applyBorder="1" applyAlignment="1">
      <alignment horizontal="center"/>
    </xf>
    <xf numFmtId="0" fontId="12" fillId="0" borderId="1" xfId="0" applyFont="1" applyBorder="1" applyAlignment="1">
      <alignment horizontal="center"/>
    </xf>
    <xf numFmtId="0" fontId="0" fillId="3" borderId="0" xfId="0" applyFill="1" applyAlignment="1" applyProtection="1">
      <protection locked="0"/>
    </xf>
    <xf numFmtId="0" fontId="14" fillId="3" borderId="7" xfId="1" applyFont="1" applyFill="1" applyBorder="1" applyAlignment="1" applyProtection="1">
      <alignment horizontal="center"/>
      <protection locked="0"/>
    </xf>
    <xf numFmtId="0" fontId="15" fillId="0" borderId="0" xfId="0" applyFont="1" applyAlignment="1">
      <alignment horizontal="right"/>
    </xf>
    <xf numFmtId="0" fontId="9" fillId="0" borderId="0" xfId="0" applyFont="1"/>
    <xf numFmtId="0" fontId="27" fillId="0" borderId="0" xfId="0" applyFont="1" applyAlignment="1">
      <alignment horizontal="center"/>
    </xf>
    <xf numFmtId="0" fontId="27" fillId="0" borderId="0" xfId="0" applyFont="1"/>
    <xf numFmtId="0" fontId="27" fillId="0" borderId="0" xfId="0" applyFont="1" applyAlignment="1">
      <alignment horizontal="right"/>
    </xf>
    <xf numFmtId="0" fontId="28" fillId="0" borderId="0" xfId="0" applyFont="1"/>
    <xf numFmtId="0" fontId="30" fillId="0" borderId="0" xfId="0" applyFont="1" applyAlignment="1">
      <alignment horizontal="left"/>
    </xf>
    <xf numFmtId="0" fontId="14" fillId="0" borderId="0" xfId="1" applyFont="1" applyAlignment="1" applyProtection="1">
      <protection locked="0"/>
    </xf>
    <xf numFmtId="0" fontId="12" fillId="0" borderId="23" xfId="0" applyFont="1" applyFill="1" applyBorder="1" applyAlignment="1">
      <alignment horizontal="center"/>
    </xf>
    <xf numFmtId="0" fontId="0" fillId="2" borderId="1" xfId="0" applyFill="1" applyBorder="1" applyAlignment="1">
      <alignment horizontal="left"/>
    </xf>
    <xf numFmtId="0" fontId="12" fillId="0" borderId="0" xfId="0" applyFont="1"/>
    <xf numFmtId="1" fontId="12" fillId="0" borderId="0" xfId="0" applyNumberFormat="1" applyFont="1" applyAlignment="1">
      <alignment horizontal="right"/>
    </xf>
    <xf numFmtId="1" fontId="12" fillId="0" borderId="25" xfId="0" applyNumberFormat="1" applyFont="1" applyBorder="1" applyAlignment="1">
      <alignment horizontal="center"/>
    </xf>
    <xf numFmtId="1" fontId="12" fillId="0" borderId="24" xfId="0" applyNumberFormat="1" applyFont="1" applyBorder="1" applyAlignment="1">
      <alignment horizontal="center"/>
    </xf>
    <xf numFmtId="0" fontId="12" fillId="0" borderId="25" xfId="0" applyFont="1" applyBorder="1" applyAlignment="1">
      <alignment horizontal="center"/>
    </xf>
    <xf numFmtId="0" fontId="12" fillId="0" borderId="24" xfId="0" applyFont="1" applyBorder="1" applyAlignment="1">
      <alignment horizontal="center"/>
    </xf>
    <xf numFmtId="0" fontId="12" fillId="0" borderId="0" xfId="0" applyFont="1" applyAlignment="1">
      <alignment horizontal="left"/>
    </xf>
    <xf numFmtId="0" fontId="12" fillId="0" borderId="0" xfId="0" applyFont="1" applyAlignment="1">
      <alignment horizontal="center"/>
    </xf>
    <xf numFmtId="0" fontId="33" fillId="3" borderId="7" xfId="0" applyFont="1" applyFill="1" applyBorder="1" applyAlignment="1" applyProtection="1">
      <alignment horizontal="left"/>
    </xf>
    <xf numFmtId="0" fontId="8" fillId="5" borderId="12" xfId="0" applyFont="1" applyFill="1" applyBorder="1" applyAlignment="1">
      <alignment horizontal="left" vertical="top" wrapText="1"/>
    </xf>
    <xf numFmtId="0" fontId="0" fillId="0" borderId="13" xfId="0" applyFont="1" applyBorder="1" applyAlignment="1">
      <alignment horizontal="left" vertical="top" wrapText="1"/>
    </xf>
    <xf numFmtId="0" fontId="0" fillId="0" borderId="26" xfId="0" applyFont="1" applyBorder="1" applyAlignment="1">
      <alignment wrapText="1"/>
    </xf>
    <xf numFmtId="0" fontId="0" fillId="0" borderId="14" xfId="0" applyFont="1" applyBorder="1" applyAlignment="1">
      <alignment horizontal="left" vertical="top" wrapText="1"/>
    </xf>
    <xf numFmtId="0" fontId="0" fillId="0" borderId="0" xfId="0" applyFont="1" applyBorder="1" applyAlignment="1">
      <alignment horizontal="left" vertical="top" wrapText="1"/>
    </xf>
    <xf numFmtId="0" fontId="0" fillId="0" borderId="8" xfId="0" applyFont="1" applyBorder="1" applyAlignment="1">
      <alignment wrapText="1"/>
    </xf>
    <xf numFmtId="0" fontId="0" fillId="0" borderId="15" xfId="0" applyFont="1" applyBorder="1" applyAlignment="1">
      <alignment horizontal="left" vertical="top" wrapText="1"/>
    </xf>
    <xf numFmtId="0" fontId="0" fillId="0" borderId="16" xfId="0" applyFont="1" applyBorder="1" applyAlignment="1">
      <alignment horizontal="left" vertical="top" wrapText="1"/>
    </xf>
    <xf numFmtId="0" fontId="0" fillId="0" borderId="27" xfId="0" applyFont="1" applyBorder="1" applyAlignment="1">
      <alignment wrapText="1"/>
    </xf>
    <xf numFmtId="0" fontId="32" fillId="3" borderId="17" xfId="1" applyFont="1" applyFill="1" applyBorder="1" applyAlignment="1" applyProtection="1">
      <protection locked="0"/>
    </xf>
    <xf numFmtId="0" fontId="6" fillId="0" borderId="18" xfId="0" applyFont="1" applyBorder="1" applyAlignment="1" applyProtection="1">
      <protection locked="0"/>
    </xf>
    <xf numFmtId="0" fontId="14" fillId="3" borderId="7" xfId="1" applyFont="1" applyFill="1" applyBorder="1" applyAlignment="1" applyProtection="1">
      <protection locked="0"/>
    </xf>
    <xf numFmtId="0" fontId="0" fillId="0" borderId="0" xfId="0" applyBorder="1" applyAlignment="1" applyProtection="1">
      <protection locked="0"/>
    </xf>
    <xf numFmtId="0" fontId="0" fillId="0" borderId="8" xfId="0" applyBorder="1" applyAlignment="1" applyProtection="1">
      <protection locked="0"/>
    </xf>
    <xf numFmtId="0" fontId="0" fillId="0" borderId="0" xfId="0" applyAlignment="1" applyProtection="1">
      <protection locked="0"/>
    </xf>
    <xf numFmtId="0" fontId="25" fillId="0" borderId="17" xfId="0" applyFont="1" applyBorder="1" applyAlignment="1">
      <alignment wrapText="1"/>
    </xf>
    <xf numFmtId="0" fontId="15" fillId="0" borderId="18" xfId="0" applyFont="1" applyBorder="1" applyAlignment="1">
      <alignment wrapText="1"/>
    </xf>
    <xf numFmtId="0" fontId="15" fillId="0" borderId="19" xfId="0" applyFont="1" applyBorder="1" applyAlignment="1">
      <alignment wrapText="1"/>
    </xf>
    <xf numFmtId="0" fontId="25" fillId="5" borderId="21" xfId="0" applyFont="1" applyFill="1" applyBorder="1" applyAlignment="1">
      <alignment horizontal="left" wrapText="1"/>
    </xf>
    <xf numFmtId="0" fontId="24" fillId="5" borderId="20" xfId="0" applyFont="1" applyFill="1" applyBorder="1" applyAlignment="1">
      <alignment wrapText="1"/>
    </xf>
    <xf numFmtId="0" fontId="24" fillId="5" borderId="22" xfId="0" applyFont="1" applyFill="1" applyBorder="1" applyAlignment="1">
      <alignment wrapText="1"/>
    </xf>
    <xf numFmtId="0" fontId="22" fillId="0" borderId="0" xfId="0" applyFont="1" applyAlignment="1">
      <alignment horizontal="left"/>
    </xf>
    <xf numFmtId="0" fontId="22" fillId="0" borderId="0" xfId="0" applyFont="1" applyAlignment="1"/>
    <xf numFmtId="0" fontId="26" fillId="0" borderId="0" xfId="1" applyFont="1" applyAlignment="1" applyProtection="1">
      <alignment horizontal="left"/>
      <protection locked="0"/>
    </xf>
  </cellXfs>
  <cellStyles count="4">
    <cellStyle name="Followed Hyperlink" xfId="2" builtinId="9" hidden="1"/>
    <cellStyle name="Followed Hyperlink" xfId="3" builtinId="9" hidden="1"/>
    <cellStyle name="Hyperlink" xfId="1" builtinId="8"/>
    <cellStyle name="Normal" xfId="0" builtinId="0"/>
  </cellStyles>
  <dxfs count="0"/>
  <tableStyles count="0" defaultTableStyle="TableStyleMedium9" defaultPivotStyle="PivotStyleLight16"/>
  <colors>
    <mruColors>
      <color rgb="FFC2D3E8"/>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264687303228502E-2"/>
          <c:y val="0.14606522276532333"/>
          <c:w val="0.71673974059261669"/>
          <c:h val="0.75408323959505064"/>
        </c:manualLayout>
      </c:layout>
      <c:scatterChart>
        <c:scatterStyle val="smoothMarker"/>
        <c:varyColors val="0"/>
        <c:ser>
          <c:idx val="0"/>
          <c:order val="0"/>
          <c:tx>
            <c:strRef>
              <c:f>'BAC Vs. Time'!$O$1</c:f>
              <c:strCache>
                <c:ptCount val="1"/>
                <c:pt idx="0">
                  <c:v>BAC</c:v>
                </c:pt>
              </c:strCache>
            </c:strRef>
          </c:tx>
          <c:spPr>
            <a:ln>
              <a:solidFill>
                <a:schemeClr val="accent4">
                  <a:lumMod val="60000"/>
                  <a:lumOff val="40000"/>
                </a:schemeClr>
              </a:solidFill>
            </a:ln>
          </c:spPr>
          <c:marker>
            <c:symbol val="circle"/>
            <c:size val="3"/>
            <c:spPr>
              <a:solidFill>
                <a:schemeClr val="tx1"/>
              </a:solidFill>
            </c:spPr>
          </c:marker>
          <c:xVal>
            <c:numRef>
              <c:f>'BAC Vs. Time'!$N$2:$N$26</c:f>
              <c:numCache>
                <c:formatCode>General</c:formatCode>
                <c:ptCount val="25"/>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numCache>
            </c:numRef>
          </c:xVal>
          <c:yVal>
            <c:numRef>
              <c:f>'BAC Vs. Time'!$O$2:$O$26</c:f>
              <c:numCache>
                <c:formatCode>General</c:formatCode>
                <c:ptCount val="25"/>
                <c:pt idx="0">
                  <c:v>7.3697184331797255E-2</c:v>
                </c:pt>
                <c:pt idx="1">
                  <c:v>6.1697184331797258E-2</c:v>
                </c:pt>
                <c:pt idx="2">
                  <c:v>4.9697184331797255E-2</c:v>
                </c:pt>
                <c:pt idx="3">
                  <c:v>3.7697184331797251E-2</c:v>
                </c:pt>
                <c:pt idx="4">
                  <c:v>2.5697184331797254E-2</c:v>
                </c:pt>
                <c:pt idx="5">
                  <c:v>1.3697184331797257E-2</c:v>
                </c:pt>
                <c:pt idx="6">
                  <c:v>1.6971843317972468E-3</c:v>
                </c:pt>
                <c:pt idx="7">
                  <c:v>-1.030281566820275E-2</c:v>
                </c:pt>
                <c:pt idx="8">
                  <c:v>-2.2302815668202747E-2</c:v>
                </c:pt>
                <c:pt idx="9">
                  <c:v>-3.4302815668202744E-2</c:v>
                </c:pt>
                <c:pt idx="10">
                  <c:v>-4.630281566820274E-2</c:v>
                </c:pt>
                <c:pt idx="11">
                  <c:v>-5.8302815668202751E-2</c:v>
                </c:pt>
                <c:pt idx="12">
                  <c:v>-7.0302815668202762E-2</c:v>
                </c:pt>
                <c:pt idx="13">
                  <c:v>-8.2302815668202745E-2</c:v>
                </c:pt>
                <c:pt idx="14">
                  <c:v>-9.4302815668202755E-2</c:v>
                </c:pt>
                <c:pt idx="15">
                  <c:v>-0.10630281566820274</c:v>
                </c:pt>
                <c:pt idx="16">
                  <c:v>-0.11830281566820275</c:v>
                </c:pt>
                <c:pt idx="17">
                  <c:v>-0.13030281566820276</c:v>
                </c:pt>
                <c:pt idx="18">
                  <c:v>-0.14230281566820274</c:v>
                </c:pt>
                <c:pt idx="19">
                  <c:v>-0.15430281566820275</c:v>
                </c:pt>
                <c:pt idx="20">
                  <c:v>-0.16630281566820274</c:v>
                </c:pt>
                <c:pt idx="21">
                  <c:v>-0.17830281566820275</c:v>
                </c:pt>
                <c:pt idx="22">
                  <c:v>-0.19030281566820276</c:v>
                </c:pt>
                <c:pt idx="23">
                  <c:v>-0.20230281566820277</c:v>
                </c:pt>
                <c:pt idx="24">
                  <c:v>-0.21430281566820278</c:v>
                </c:pt>
              </c:numCache>
            </c:numRef>
          </c:yVal>
          <c:smooth val="1"/>
        </c:ser>
        <c:ser>
          <c:idx val="1"/>
          <c:order val="1"/>
          <c:tx>
            <c:strRef>
              <c:f>'BAC Vs. Time'!$B$49</c:f>
              <c:strCache>
                <c:ptCount val="1"/>
                <c:pt idx="0">
                  <c:v>Sober = (.00 BAC)</c:v>
                </c:pt>
              </c:strCache>
            </c:strRef>
          </c:tx>
          <c:spPr>
            <a:ln>
              <a:solidFill>
                <a:srgbClr val="00B0F0"/>
              </a:solidFill>
            </a:ln>
          </c:spPr>
          <c:marker>
            <c:symbol val="none"/>
          </c:marker>
          <c:xVal>
            <c:numRef>
              <c:f>'BAC Vs. Time'!$N$2:$N$26</c:f>
              <c:numCache>
                <c:formatCode>General</c:formatCode>
                <c:ptCount val="25"/>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numCache>
            </c:numRef>
          </c:xVal>
          <c:yVal>
            <c:numRef>
              <c:f>'BAC Vs. Time'!$B$50:$B$74</c:f>
              <c:numCache>
                <c:formatCode>General</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yVal>
          <c:smooth val="1"/>
        </c:ser>
        <c:ser>
          <c:idx val="2"/>
          <c:order val="2"/>
          <c:tx>
            <c:strRef>
              <c:f>'BAC Vs. Time'!$C$49</c:f>
              <c:strCache>
                <c:ptCount val="1"/>
                <c:pt idx="0">
                  <c:v>(.08) BAC Limit</c:v>
                </c:pt>
              </c:strCache>
            </c:strRef>
          </c:tx>
          <c:spPr>
            <a:ln>
              <a:solidFill>
                <a:srgbClr val="FF0000"/>
              </a:solidFill>
            </a:ln>
          </c:spPr>
          <c:marker>
            <c:symbol val="none"/>
          </c:marker>
          <c:xVal>
            <c:numRef>
              <c:f>'BAC Vs. Time'!$N$2:$N$26</c:f>
              <c:numCache>
                <c:formatCode>General</c:formatCode>
                <c:ptCount val="25"/>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numCache>
            </c:numRef>
          </c:xVal>
          <c:yVal>
            <c:numRef>
              <c:f>'BAC Vs. Time'!$C$50:$C$74</c:f>
              <c:numCache>
                <c:formatCode>General</c:formatCode>
                <c:ptCount val="25"/>
                <c:pt idx="0">
                  <c:v>0.08</c:v>
                </c:pt>
                <c:pt idx="1">
                  <c:v>0.08</c:v>
                </c:pt>
                <c:pt idx="2">
                  <c:v>0.08</c:v>
                </c:pt>
                <c:pt idx="3">
                  <c:v>0.08</c:v>
                </c:pt>
                <c:pt idx="4">
                  <c:v>0.08</c:v>
                </c:pt>
                <c:pt idx="5">
                  <c:v>0.08</c:v>
                </c:pt>
                <c:pt idx="6">
                  <c:v>0.08</c:v>
                </c:pt>
                <c:pt idx="7">
                  <c:v>0.08</c:v>
                </c:pt>
                <c:pt idx="8">
                  <c:v>0.08</c:v>
                </c:pt>
                <c:pt idx="9">
                  <c:v>0.08</c:v>
                </c:pt>
                <c:pt idx="10">
                  <c:v>0.08</c:v>
                </c:pt>
                <c:pt idx="11">
                  <c:v>0.08</c:v>
                </c:pt>
                <c:pt idx="12">
                  <c:v>0.08</c:v>
                </c:pt>
                <c:pt idx="13">
                  <c:v>0.08</c:v>
                </c:pt>
                <c:pt idx="14">
                  <c:v>0.08</c:v>
                </c:pt>
                <c:pt idx="15">
                  <c:v>0.08</c:v>
                </c:pt>
                <c:pt idx="16">
                  <c:v>0.08</c:v>
                </c:pt>
                <c:pt idx="17">
                  <c:v>0.08</c:v>
                </c:pt>
                <c:pt idx="18">
                  <c:v>0.08</c:v>
                </c:pt>
                <c:pt idx="19">
                  <c:v>0.08</c:v>
                </c:pt>
                <c:pt idx="20">
                  <c:v>0.08</c:v>
                </c:pt>
                <c:pt idx="21">
                  <c:v>0.08</c:v>
                </c:pt>
                <c:pt idx="22">
                  <c:v>0.08</c:v>
                </c:pt>
                <c:pt idx="23">
                  <c:v>0.08</c:v>
                </c:pt>
                <c:pt idx="24">
                  <c:v>0.08</c:v>
                </c:pt>
              </c:numCache>
            </c:numRef>
          </c:yVal>
          <c:smooth val="1"/>
        </c:ser>
        <c:dLbls>
          <c:showLegendKey val="0"/>
          <c:showVal val="0"/>
          <c:showCatName val="0"/>
          <c:showSerName val="0"/>
          <c:showPercent val="0"/>
          <c:showBubbleSize val="0"/>
        </c:dLbls>
        <c:axId val="94571904"/>
        <c:axId val="94577792"/>
      </c:scatterChart>
      <c:valAx>
        <c:axId val="94571904"/>
        <c:scaling>
          <c:orientation val="minMax"/>
          <c:max val="24"/>
          <c:min val="0"/>
        </c:scaling>
        <c:delete val="0"/>
        <c:axPos val="b"/>
        <c:minorGridlines/>
        <c:numFmt formatCode="General" sourceLinked="1"/>
        <c:majorTickMark val="out"/>
        <c:minorTickMark val="none"/>
        <c:tickLblPos val="nextTo"/>
        <c:txPr>
          <a:bodyPr/>
          <a:lstStyle/>
          <a:p>
            <a:pPr>
              <a:defRPr b="1" i="0" baseline="0"/>
            </a:pPr>
            <a:endParaRPr lang="en-US"/>
          </a:p>
        </c:txPr>
        <c:crossAx val="94577792"/>
        <c:crosses val="autoZero"/>
        <c:crossBetween val="midCat"/>
      </c:valAx>
      <c:valAx>
        <c:axId val="94577792"/>
        <c:scaling>
          <c:orientation val="minMax"/>
          <c:min val="-0.05"/>
        </c:scaling>
        <c:delete val="0"/>
        <c:axPos val="l"/>
        <c:majorGridlines/>
        <c:minorGridlines/>
        <c:numFmt formatCode="General" sourceLinked="1"/>
        <c:majorTickMark val="out"/>
        <c:minorTickMark val="none"/>
        <c:tickLblPos val="nextTo"/>
        <c:txPr>
          <a:bodyPr/>
          <a:lstStyle/>
          <a:p>
            <a:pPr>
              <a:defRPr b="1"/>
            </a:pPr>
            <a:endParaRPr lang="en-US"/>
          </a:p>
        </c:txPr>
        <c:crossAx val="94571904"/>
        <c:crosses val="autoZero"/>
        <c:crossBetween val="midCat"/>
        <c:minorUnit val="1.0000000000000005E-2"/>
      </c:valAx>
    </c:plotArea>
    <c:legend>
      <c:legendPos val="r"/>
      <c:legendEntry>
        <c:idx val="1"/>
        <c:txPr>
          <a:bodyPr/>
          <a:lstStyle/>
          <a:p>
            <a:pPr>
              <a:defRPr b="1" i="0" baseline="0"/>
            </a:pPr>
            <a:endParaRPr lang="en-US"/>
          </a:p>
        </c:txPr>
      </c:legendEntry>
      <c:layout>
        <c:manualLayout>
          <c:xMode val="edge"/>
          <c:yMode val="edge"/>
          <c:x val="0.82409233694053763"/>
          <c:y val="0.46116952067991435"/>
          <c:w val="0.16145219014583501"/>
          <c:h val="0.16439016091390138"/>
        </c:manualLayout>
      </c:layout>
      <c:overlay val="0"/>
      <c:spPr>
        <a:solidFill>
          <a:schemeClr val="bg1"/>
        </a:solidFill>
        <a:ln>
          <a:solidFill>
            <a:schemeClr val="tx1"/>
          </a:solidFill>
        </a:ln>
      </c:spPr>
      <c:txPr>
        <a:bodyPr/>
        <a:lstStyle/>
        <a:p>
          <a:pPr>
            <a:defRPr b="1"/>
          </a:pPr>
          <a:endParaRPr lang="en-US"/>
        </a:p>
      </c:txPr>
    </c:legend>
    <c:plotVisOnly val="1"/>
    <c:dispBlanksAs val="gap"/>
    <c:showDLblsOverMax val="0"/>
  </c:chart>
  <c:spPr>
    <a:solidFill>
      <a:schemeClr val="tx2">
        <a:lumMod val="20000"/>
        <a:lumOff val="80000"/>
      </a:schemeClr>
    </a:solidFill>
  </c:spPr>
  <c:printSettings>
    <c:headerFooter/>
    <c:pageMargins b="0.75000000000000167" l="0.70000000000000062" r="0.70000000000000062" t="0.75000000000000167" header="0.30000000000000032" footer="0.30000000000000032"/>
    <c:pageSetup/>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47636</xdr:colOff>
      <xdr:row>0</xdr:row>
      <xdr:rowOff>66675</xdr:rowOff>
    </xdr:from>
    <xdr:to>
      <xdr:col>0</xdr:col>
      <xdr:colOff>2255748</xdr:colOff>
      <xdr:row>3</xdr:row>
      <xdr:rowOff>97155</xdr:rowOff>
    </xdr:to>
    <xdr:pic>
      <xdr:nvPicPr>
        <xdr:cNvPr id="3" name="Picture 2" descr="lu logoblue with text.jpg"/>
        <xdr:cNvPicPr>
          <a:picLocks noChangeAspect="1"/>
        </xdr:cNvPicPr>
      </xdr:nvPicPr>
      <xdr:blipFill>
        <a:blip xmlns:r="http://schemas.openxmlformats.org/officeDocument/2006/relationships" r:embed="rId1" cstate="print"/>
        <a:stretch>
          <a:fillRect/>
        </a:stretch>
      </xdr:blipFill>
      <xdr:spPr>
        <a:xfrm>
          <a:off x="657236" y="266700"/>
          <a:ext cx="2208112" cy="640080"/>
        </a:xfrm>
        <a:prstGeom prst="rect">
          <a:avLst/>
        </a:prstGeom>
      </xdr:spPr>
    </xdr:pic>
    <xdr:clientData/>
  </xdr:twoCellAnchor>
  <xdr:twoCellAnchor editAs="oneCell">
    <xdr:from>
      <xdr:col>1</xdr:col>
      <xdr:colOff>104775</xdr:colOff>
      <xdr:row>0</xdr:row>
      <xdr:rowOff>85725</xdr:rowOff>
    </xdr:from>
    <xdr:to>
      <xdr:col>1</xdr:col>
      <xdr:colOff>648377</xdr:colOff>
      <xdr:row>4</xdr:row>
      <xdr:rowOff>7620</xdr:rowOff>
    </xdr:to>
    <xdr:pic>
      <xdr:nvPicPr>
        <xdr:cNvPr id="4" name="Picture 3" descr="Copy of Lincoln-univ-patch.jpg"/>
        <xdr:cNvPicPr>
          <a:picLocks noChangeAspect="1"/>
        </xdr:cNvPicPr>
      </xdr:nvPicPr>
      <xdr:blipFill>
        <a:blip xmlns:r="http://schemas.openxmlformats.org/officeDocument/2006/relationships" r:embed="rId2" cstate="print"/>
        <a:stretch>
          <a:fillRect/>
        </a:stretch>
      </xdr:blipFill>
      <xdr:spPr>
        <a:xfrm>
          <a:off x="2962275" y="85725"/>
          <a:ext cx="543602" cy="731520"/>
        </a:xfrm>
        <a:prstGeom prst="rect">
          <a:avLst/>
        </a:prstGeom>
      </xdr:spPr>
    </xdr:pic>
    <xdr:clientData/>
  </xdr:twoCellAnchor>
  <xdr:twoCellAnchor>
    <xdr:from>
      <xdr:col>0</xdr:col>
      <xdr:colOff>142875</xdr:colOff>
      <xdr:row>6</xdr:row>
      <xdr:rowOff>104775</xdr:rowOff>
    </xdr:from>
    <xdr:to>
      <xdr:col>1</xdr:col>
      <xdr:colOff>57150</xdr:colOff>
      <xdr:row>8</xdr:row>
      <xdr:rowOff>57150</xdr:rowOff>
    </xdr:to>
    <xdr:pic>
      <xdr:nvPicPr>
        <xdr:cNvPr id="1029" name="Picture 5"/>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blip>
        <a:srcRect/>
        <a:stretch>
          <a:fillRect/>
        </a:stretch>
      </xdr:blipFill>
      <xdr:spPr bwMode="auto">
        <a:xfrm>
          <a:off x="142875" y="1400175"/>
          <a:ext cx="2771775" cy="43815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47628</xdr:colOff>
      <xdr:row>0</xdr:row>
      <xdr:rowOff>66676</xdr:rowOff>
    </xdr:from>
    <xdr:to>
      <xdr:col>12</xdr:col>
      <xdr:colOff>457200</xdr:colOff>
      <xdr:row>22</xdr:row>
      <xdr:rowOff>66675</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0.43096</cdr:x>
      <cdr:y>0.92123</cdr:y>
    </cdr:from>
    <cdr:to>
      <cdr:x>0.52811</cdr:x>
      <cdr:y>0.99559</cdr:y>
    </cdr:to>
    <cdr:sp macro="" textlink="">
      <cdr:nvSpPr>
        <cdr:cNvPr id="2" name="TextBox 1"/>
        <cdr:cNvSpPr txBox="1"/>
      </cdr:nvSpPr>
      <cdr:spPr>
        <a:xfrm xmlns:a="http://schemas.openxmlformats.org/drawingml/2006/main">
          <a:off x="3587710" y="3860874"/>
          <a:ext cx="808759" cy="3116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Time</a:t>
          </a:r>
          <a:r>
            <a:rPr lang="en-US" sz="1100" b="1" baseline="0"/>
            <a:t> (hr)</a:t>
          </a:r>
          <a:endParaRPr lang="en-US" sz="1100" b="1"/>
        </a:p>
      </cdr:txBody>
    </cdr:sp>
  </cdr:relSizeAnchor>
  <cdr:relSizeAnchor xmlns:cdr="http://schemas.openxmlformats.org/drawingml/2006/chartDrawing">
    <cdr:from>
      <cdr:x>0.14218</cdr:x>
      <cdr:y>0.0205</cdr:y>
    </cdr:from>
    <cdr:to>
      <cdr:x>0.8055</cdr:x>
      <cdr:y>0.13217</cdr:y>
    </cdr:to>
    <cdr:sp macro="" textlink="">
      <cdr:nvSpPr>
        <cdr:cNvPr id="3" name="Rectangle 2"/>
        <cdr:cNvSpPr/>
      </cdr:nvSpPr>
      <cdr:spPr>
        <a:xfrm xmlns:a="http://schemas.openxmlformats.org/drawingml/2006/main">
          <a:off x="1183601" y="85915"/>
          <a:ext cx="5522088" cy="468013"/>
        </a:xfrm>
        <a:prstGeom xmlns:a="http://schemas.openxmlformats.org/drawingml/2006/main" prst="rect">
          <a:avLst/>
        </a:prstGeom>
        <a:noFill xmlns:a="http://schemas.openxmlformats.org/drawingml/2006/main"/>
      </cdr:spPr>
      <cdr:txBody>
        <a:bodyPr xmlns:a="http://schemas.openxmlformats.org/drawingml/2006/main" wrap="none" lIns="91440" tIns="45720" rIns="91440" bIns="45720">
          <a:spAutoFit/>
        </a:bodyPr>
        <a:lstStyle xmlns:a="http://schemas.openxmlformats.org/drawingml/2006/main"/>
        <a:p xmlns:a="http://schemas.openxmlformats.org/drawingml/2006/main">
          <a:pPr algn="ctr"/>
          <a:r>
            <a:rPr lang="en-US" sz="2400" b="1" cap="none" spc="0">
              <a:ln w="10541" cmpd="sng">
                <a:solidFill>
                  <a:schemeClr val="accent1">
                    <a:shade val="88000"/>
                    <a:satMod val="110000"/>
                  </a:schemeClr>
                </a:solidFill>
                <a:prstDash val="solid"/>
              </a:ln>
              <a:solidFill>
                <a:schemeClr val="tx1"/>
              </a:solidFill>
              <a:effectLst/>
            </a:rPr>
            <a:t>Blood Alcohol Level</a:t>
          </a:r>
          <a:r>
            <a:rPr lang="en-US" sz="2400" b="1" cap="none" spc="0" baseline="0">
              <a:ln w="10541" cmpd="sng">
                <a:solidFill>
                  <a:schemeClr val="accent1">
                    <a:shade val="88000"/>
                    <a:satMod val="110000"/>
                  </a:schemeClr>
                </a:solidFill>
                <a:prstDash val="solid"/>
              </a:ln>
              <a:solidFill>
                <a:schemeClr val="tx1"/>
              </a:solidFill>
              <a:effectLst/>
            </a:rPr>
            <a:t> Vs Time (24hr period)</a:t>
          </a:r>
          <a:endParaRPr lang="en-US" sz="2400" b="1" cap="none" spc="0">
            <a:ln w="10541" cmpd="sng">
              <a:solidFill>
                <a:schemeClr val="accent1">
                  <a:shade val="88000"/>
                  <a:satMod val="110000"/>
                </a:schemeClr>
              </a:solidFill>
              <a:prstDash val="solid"/>
            </a:ln>
            <a:solidFill>
              <a:schemeClr val="tx1"/>
            </a:solidFill>
            <a:effectLst/>
          </a:endParaRPr>
        </a:p>
      </cdr:txBody>
    </cdr:sp>
  </cdr:relSizeAnchor>
  <cdr:relSizeAnchor xmlns:cdr="http://schemas.openxmlformats.org/drawingml/2006/chartDrawing">
    <cdr:from>
      <cdr:x>0.00293</cdr:x>
      <cdr:y>0.38326</cdr:y>
    </cdr:from>
    <cdr:to>
      <cdr:x>0.06432</cdr:x>
      <cdr:y>0.65859</cdr:y>
    </cdr:to>
    <cdr:sp macro="" textlink="">
      <cdr:nvSpPr>
        <cdr:cNvPr id="4" name="TextBox 3"/>
        <cdr:cNvSpPr txBox="1"/>
      </cdr:nvSpPr>
      <cdr:spPr>
        <a:xfrm xmlns:a="http://schemas.openxmlformats.org/drawingml/2006/main">
          <a:off x="23225" y="1606240"/>
          <a:ext cx="485848" cy="1153910"/>
        </a:xfrm>
        <a:prstGeom xmlns:a="http://schemas.openxmlformats.org/drawingml/2006/main" prst="rect">
          <a:avLst/>
        </a:prstGeom>
      </cdr:spPr>
      <cdr:txBody>
        <a:bodyPr xmlns:a="http://schemas.openxmlformats.org/drawingml/2006/main" vertOverflow="clip" vert="wordArtVert" wrap="none" rtlCol="0"/>
        <a:lstStyle xmlns:a="http://schemas.openxmlformats.org/drawingml/2006/main"/>
        <a:p xmlns:a="http://schemas.openxmlformats.org/drawingml/2006/main">
          <a:r>
            <a:rPr lang="en-US" sz="1100" b="1"/>
            <a:t>%</a:t>
          </a:r>
          <a:r>
            <a:rPr lang="en-US" sz="1100" b="1" baseline="0"/>
            <a:t> BAC</a:t>
          </a:r>
          <a:endParaRPr lang="en-US" sz="1100" b="1"/>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152400</xdr:colOff>
      <xdr:row>23</xdr:row>
      <xdr:rowOff>95250</xdr:rowOff>
    </xdr:from>
    <xdr:to>
      <xdr:col>1</xdr:col>
      <xdr:colOff>1419225</xdr:colOff>
      <xdr:row>25</xdr:row>
      <xdr:rowOff>95250</xdr:rowOff>
    </xdr:to>
    <xdr:pic>
      <xdr:nvPicPr>
        <xdr:cNvPr id="2049" name="Picture 1"/>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52400" y="4619625"/>
          <a:ext cx="5705475" cy="381000"/>
        </a:xfrm>
        <a:prstGeom prst="rect">
          <a:avLst/>
        </a:prstGeom>
        <a:noFill/>
      </xdr:spPr>
    </xdr:pic>
    <xdr:clientData/>
  </xdr:twoCellAnchor>
  <xdr:twoCellAnchor>
    <xdr:from>
      <xdr:col>0</xdr:col>
      <xdr:colOff>161924</xdr:colOff>
      <xdr:row>13</xdr:row>
      <xdr:rowOff>190500</xdr:rowOff>
    </xdr:from>
    <xdr:to>
      <xdr:col>0</xdr:col>
      <xdr:colOff>4381499</xdr:colOff>
      <xdr:row>21</xdr:row>
      <xdr:rowOff>27962</xdr:rowOff>
    </xdr:to>
    <xdr:pic>
      <xdr:nvPicPr>
        <xdr:cNvPr id="4" name="Picture 3"/>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1924" y="2771775"/>
          <a:ext cx="4219575" cy="13995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dor.mo.gov/drivers/dwiinfo.php" TargetMode="External"/><Relationship Id="rId7" Type="http://schemas.openxmlformats.org/officeDocument/2006/relationships/printerSettings" Target="../printerSettings/printerSettings1.bin"/><Relationship Id="rId2" Type="http://schemas.openxmlformats.org/officeDocument/2006/relationships/hyperlink" Target="http://www.alcoholeducationproject.org/researchlinks/bac.htm" TargetMode="External"/><Relationship Id="rId1" Type="http://schemas.openxmlformats.org/officeDocument/2006/relationships/hyperlink" Target="https://www.google.com/url?sa=t&amp;rct=j&amp;q=&amp;esrc=s&amp;source=web&amp;cd=1&amp;ved=0CCsQFjAA&amp;url=http%3A%2F%2F555748.cache1.evolutionhosting.com%2Fattachments%2F0000%2F1170%2FComputing_a_BAC_Estimate.pdf&amp;ei=kvlWUsDNFIm6yAHRl4GoDw&amp;usg=AFQjCNFWsKG8pTOivw_W1XPVX1MplYOAaQ&amp;bv" TargetMode="External"/><Relationship Id="rId6" Type="http://schemas.openxmlformats.org/officeDocument/2006/relationships/hyperlink" Target="http://www.masbirt.org/sbirt-information/drinking-limits" TargetMode="External"/><Relationship Id="rId5" Type="http://schemas.openxmlformats.org/officeDocument/2006/relationships/hyperlink" Target="http://www.brad21.org/effects_at_specific_bac.html" TargetMode="External"/><Relationship Id="rId4" Type="http://schemas.openxmlformats.org/officeDocument/2006/relationships/hyperlink" Target="https://www.google.com/search?q=bac+calculator&amp;oq=BAC+&amp;aqs=chrome.0.69i59j69i57j69i65j0l3.1810j0j8&amp;sourceid=chrome&amp;espvd=210&amp;es_sm=122&amp;ie=UTF-8"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brad21.org/effects_at_specific_bac.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tabColor rgb="FFFFFF00"/>
    <pageSetUpPr fitToPage="1"/>
  </sheetPr>
  <dimension ref="A1:K42"/>
  <sheetViews>
    <sheetView showGridLines="0" showRowColHeaders="0" tabSelected="1" zoomScale="110" zoomScaleNormal="110" zoomScalePageLayoutView="150" workbookViewId="0">
      <selection activeCell="B18" sqref="B18"/>
    </sheetView>
  </sheetViews>
  <sheetFormatPr defaultColWidth="8.85546875" defaultRowHeight="15" x14ac:dyDescent="0.25"/>
  <cols>
    <col min="1" max="1" width="42.85546875" customWidth="1"/>
    <col min="2" max="2" width="11.85546875" customWidth="1"/>
    <col min="4" max="4" width="62.7109375" customWidth="1"/>
  </cols>
  <sheetData>
    <row r="1" spans="1:11" ht="16.5" thickTop="1" x14ac:dyDescent="0.25">
      <c r="A1" s="9"/>
      <c r="B1" s="10"/>
      <c r="C1" s="21"/>
      <c r="D1" s="22" t="s">
        <v>37</v>
      </c>
      <c r="E1" s="35"/>
      <c r="F1" s="35"/>
      <c r="G1" s="35"/>
      <c r="H1" s="35"/>
      <c r="I1" s="35"/>
      <c r="J1" s="35"/>
      <c r="K1" s="35"/>
    </row>
    <row r="2" spans="1:11" ht="15.75" x14ac:dyDescent="0.25">
      <c r="A2" s="11"/>
      <c r="B2" s="12"/>
      <c r="C2" s="19"/>
      <c r="D2" s="22" t="s">
        <v>38</v>
      </c>
      <c r="E2" s="35"/>
      <c r="F2" s="35"/>
      <c r="G2" s="35"/>
      <c r="H2" s="35"/>
      <c r="I2" s="35"/>
      <c r="J2" s="35"/>
      <c r="K2" s="35"/>
    </row>
    <row r="3" spans="1:11" ht="15.75" x14ac:dyDescent="0.25">
      <c r="A3" s="13"/>
      <c r="B3" s="12"/>
      <c r="C3" s="19"/>
      <c r="D3" s="22" t="s">
        <v>39</v>
      </c>
      <c r="E3" s="35"/>
      <c r="F3" s="35"/>
      <c r="G3" s="35"/>
      <c r="H3" s="35"/>
      <c r="I3" s="35"/>
      <c r="J3" s="35"/>
      <c r="K3" s="35"/>
    </row>
    <row r="4" spans="1:11" ht="15.75" x14ac:dyDescent="0.25">
      <c r="A4" s="13"/>
      <c r="B4" s="12"/>
      <c r="C4" s="19"/>
      <c r="D4" s="22" t="s">
        <v>40</v>
      </c>
      <c r="E4" s="35"/>
      <c r="F4" s="35"/>
      <c r="G4" s="35"/>
      <c r="H4" s="35"/>
      <c r="I4" s="35"/>
      <c r="J4" s="35"/>
      <c r="K4" s="35"/>
    </row>
    <row r="5" spans="1:11" ht="18.75" x14ac:dyDescent="0.3">
      <c r="A5" s="14" t="s">
        <v>41</v>
      </c>
      <c r="B5" s="12"/>
      <c r="C5" s="19"/>
      <c r="D5" s="23" t="s">
        <v>26</v>
      </c>
      <c r="E5" s="35"/>
      <c r="F5" s="35"/>
      <c r="G5" s="35"/>
      <c r="H5" s="35"/>
      <c r="I5" s="35"/>
      <c r="J5" s="35"/>
      <c r="K5" s="35"/>
    </row>
    <row r="6" spans="1:11" ht="19.5" thickBot="1" x14ac:dyDescent="0.35">
      <c r="A6" s="16" t="s">
        <v>44</v>
      </c>
      <c r="B6" s="15"/>
      <c r="C6" s="19"/>
      <c r="D6" s="57" t="s">
        <v>69</v>
      </c>
      <c r="E6" s="35"/>
      <c r="F6" s="35"/>
      <c r="G6" s="35"/>
      <c r="H6" s="35"/>
      <c r="I6" s="35"/>
      <c r="J6" s="35"/>
      <c r="K6" s="35"/>
    </row>
    <row r="7" spans="1:11" ht="19.5" thickTop="1" x14ac:dyDescent="0.3">
      <c r="A7" s="17"/>
      <c r="B7" s="19"/>
      <c r="C7" s="19"/>
      <c r="D7" s="23" t="s">
        <v>55</v>
      </c>
      <c r="E7" s="35"/>
      <c r="F7" s="35"/>
      <c r="G7" s="35"/>
      <c r="H7" s="35"/>
      <c r="I7" s="35"/>
      <c r="J7" s="35"/>
      <c r="K7" s="35"/>
    </row>
    <row r="8" spans="1:11" ht="18.75" x14ac:dyDescent="0.3">
      <c r="A8" s="17"/>
      <c r="B8" s="19"/>
      <c r="C8" s="19"/>
      <c r="D8" s="23" t="s">
        <v>35</v>
      </c>
      <c r="E8" s="35"/>
      <c r="F8" s="35"/>
      <c r="G8" s="35"/>
      <c r="H8" s="35"/>
      <c r="I8" s="35"/>
      <c r="J8" s="35"/>
      <c r="K8" s="35"/>
    </row>
    <row r="9" spans="1:11" ht="15.75" x14ac:dyDescent="0.25">
      <c r="A9" s="18"/>
      <c r="B9" s="40"/>
      <c r="C9" s="19"/>
      <c r="D9" s="24" t="s">
        <v>93</v>
      </c>
      <c r="E9" s="35"/>
      <c r="F9" s="35"/>
      <c r="G9" s="35"/>
      <c r="H9" s="35"/>
      <c r="I9" s="35"/>
      <c r="J9" s="35"/>
      <c r="K9" s="35"/>
    </row>
    <row r="10" spans="1:11" ht="15.75" x14ac:dyDescent="0.25">
      <c r="A10" s="28" t="s">
        <v>9</v>
      </c>
      <c r="B10" s="33" t="s">
        <v>6</v>
      </c>
      <c r="C10" s="19"/>
      <c r="D10" s="24" t="s">
        <v>94</v>
      </c>
      <c r="E10" s="35"/>
      <c r="F10" s="35"/>
      <c r="G10" s="35"/>
      <c r="H10" s="35"/>
      <c r="I10" s="35"/>
      <c r="J10" s="35"/>
      <c r="K10" s="35"/>
    </row>
    <row r="11" spans="1:11" x14ac:dyDescent="0.25">
      <c r="A11" s="63" t="s">
        <v>16</v>
      </c>
      <c r="B11" s="33">
        <v>24</v>
      </c>
      <c r="C11" s="19"/>
      <c r="D11" s="25" t="s">
        <v>36</v>
      </c>
      <c r="E11" s="35"/>
      <c r="F11" s="35"/>
      <c r="G11" s="35"/>
      <c r="H11" s="35"/>
      <c r="I11" s="35"/>
      <c r="J11" s="35"/>
      <c r="K11" s="35"/>
    </row>
    <row r="12" spans="1:11" ht="15.75" x14ac:dyDescent="0.25">
      <c r="A12" s="28" t="s">
        <v>14</v>
      </c>
      <c r="B12" s="34">
        <v>4.4999999999999998E-2</v>
      </c>
      <c r="C12" s="19"/>
      <c r="D12" s="24"/>
      <c r="E12" s="35"/>
      <c r="F12" s="35"/>
      <c r="G12" s="35"/>
      <c r="H12" s="35"/>
      <c r="I12" s="35"/>
      <c r="J12" s="35"/>
      <c r="K12" s="35"/>
    </row>
    <row r="13" spans="1:11" x14ac:dyDescent="0.25">
      <c r="A13" s="28" t="s">
        <v>10</v>
      </c>
      <c r="B13" s="33">
        <v>124</v>
      </c>
      <c r="C13" s="19"/>
      <c r="D13" s="25" t="s">
        <v>45</v>
      </c>
      <c r="E13" s="35"/>
      <c r="F13" s="35"/>
      <c r="G13" s="35"/>
      <c r="H13" s="35"/>
      <c r="I13" s="35"/>
      <c r="J13" s="35"/>
      <c r="K13" s="35"/>
    </row>
    <row r="14" spans="1:11" x14ac:dyDescent="0.25">
      <c r="A14" s="28" t="s">
        <v>28</v>
      </c>
      <c r="B14" s="33" t="s">
        <v>31</v>
      </c>
      <c r="C14" s="19"/>
      <c r="D14" s="25" t="s">
        <v>46</v>
      </c>
      <c r="E14" s="35"/>
      <c r="F14" s="35"/>
      <c r="G14" s="35"/>
      <c r="H14" s="35"/>
      <c r="I14" s="35"/>
      <c r="J14" s="35"/>
      <c r="K14" s="35"/>
    </row>
    <row r="15" spans="1:11" x14ac:dyDescent="0.25">
      <c r="A15" s="28" t="s">
        <v>11</v>
      </c>
      <c r="B15" s="33">
        <v>1</v>
      </c>
      <c r="C15" s="19"/>
      <c r="D15" s="25" t="s">
        <v>47</v>
      </c>
      <c r="E15" s="35"/>
      <c r="F15" s="35"/>
      <c r="G15" s="35"/>
      <c r="H15" s="35"/>
      <c r="I15" s="35"/>
      <c r="J15" s="35"/>
      <c r="K15" s="35"/>
    </row>
    <row r="16" spans="1:11" x14ac:dyDescent="0.25">
      <c r="A16" s="18"/>
      <c r="B16" s="20"/>
      <c r="C16" s="19"/>
      <c r="D16" s="25"/>
      <c r="E16" s="35"/>
      <c r="F16" s="35"/>
      <c r="G16" s="35"/>
      <c r="H16" s="35"/>
      <c r="I16" s="35"/>
      <c r="J16" s="35"/>
      <c r="K16" s="35"/>
    </row>
    <row r="17" spans="1:11" x14ac:dyDescent="0.25">
      <c r="A17" s="29" t="s">
        <v>12</v>
      </c>
      <c r="B17" s="32">
        <f>IF(Background!D25&gt;0,Background!D25,"Sober")</f>
        <v>6.1697201892455505E-2</v>
      </c>
      <c r="C17" s="19"/>
      <c r="D17" s="25" t="s">
        <v>42</v>
      </c>
      <c r="E17" s="35"/>
      <c r="F17" s="35"/>
      <c r="G17" s="35"/>
      <c r="H17" s="35"/>
      <c r="I17" s="35"/>
      <c r="J17" s="35"/>
      <c r="K17" s="35"/>
    </row>
    <row r="18" spans="1:11" x14ac:dyDescent="0.25">
      <c r="A18" s="63" t="s">
        <v>78</v>
      </c>
      <c r="B18" s="44" t="str">
        <f>IF(B17="Sober","",IF(B17&gt;=0.075,"Drunk!",""))</f>
        <v/>
      </c>
      <c r="C18" s="19"/>
      <c r="D18" s="38" t="s">
        <v>43</v>
      </c>
      <c r="E18" s="35"/>
      <c r="F18" s="35"/>
      <c r="G18" s="35"/>
      <c r="H18" s="35"/>
      <c r="I18" s="35"/>
      <c r="J18" s="35"/>
      <c r="K18" s="35"/>
    </row>
    <row r="19" spans="1:11" x14ac:dyDescent="0.25">
      <c r="A19" s="55"/>
      <c r="B19" s="56"/>
      <c r="C19" s="42"/>
      <c r="D19" s="31"/>
      <c r="E19" s="35"/>
      <c r="F19" s="35"/>
      <c r="G19" s="35"/>
      <c r="H19" s="35"/>
      <c r="I19" s="35"/>
      <c r="J19" s="35"/>
      <c r="K19" s="35"/>
    </row>
    <row r="20" spans="1:11" ht="21.75" thickBot="1" x14ac:dyDescent="0.4">
      <c r="A20" s="82" t="s">
        <v>90</v>
      </c>
      <c r="B20" s="56"/>
      <c r="C20" s="42"/>
      <c r="D20" s="31"/>
      <c r="E20" s="35"/>
      <c r="F20" s="35"/>
      <c r="G20" s="35"/>
      <c r="H20" s="35"/>
      <c r="I20" s="35"/>
      <c r="J20" s="35"/>
      <c r="K20" s="35"/>
    </row>
    <row r="21" spans="1:11" ht="15.75" thickTop="1" x14ac:dyDescent="0.25">
      <c r="A21" s="83" t="str">
        <f>'Pulldown Info'!F20</f>
        <v>Feeling of well-being, relaxation, lower inhibitions, sensation of warmth. Euphoria. Some minor impairment of reasoning and memory, lowering of caution. Your behavior may become exaggerated and emotions intensified (Good emotions are better, bad emotions are worse)</v>
      </c>
      <c r="B21" s="84"/>
      <c r="C21" s="84"/>
      <c r="D21" s="85"/>
      <c r="E21" s="35"/>
      <c r="F21" s="35"/>
      <c r="G21" s="35"/>
      <c r="H21" s="35"/>
      <c r="I21" s="35"/>
      <c r="J21" s="35"/>
      <c r="K21" s="35"/>
    </row>
    <row r="22" spans="1:11" x14ac:dyDescent="0.25">
      <c r="A22" s="86"/>
      <c r="B22" s="87"/>
      <c r="C22" s="87"/>
      <c r="D22" s="88"/>
      <c r="E22" s="35"/>
      <c r="F22" s="35"/>
      <c r="G22" s="35"/>
      <c r="H22" s="35"/>
      <c r="I22" s="35"/>
      <c r="J22" s="35"/>
      <c r="K22" s="35"/>
    </row>
    <row r="23" spans="1:11" ht="15.75" thickBot="1" x14ac:dyDescent="0.3">
      <c r="A23" s="89"/>
      <c r="B23" s="90"/>
      <c r="C23" s="90"/>
      <c r="D23" s="91"/>
      <c r="E23" s="35"/>
      <c r="F23" s="35"/>
      <c r="G23" s="35"/>
      <c r="H23" s="35"/>
      <c r="I23" s="35"/>
      <c r="J23" s="35"/>
      <c r="K23" s="35"/>
    </row>
    <row r="24" spans="1:11" ht="15.75" thickTop="1" x14ac:dyDescent="0.25">
      <c r="A24" s="58" t="s">
        <v>68</v>
      </c>
      <c r="B24" s="53"/>
      <c r="C24" s="19"/>
      <c r="D24" s="31"/>
      <c r="E24" s="35"/>
      <c r="F24" s="35"/>
      <c r="G24" s="35"/>
      <c r="H24" s="35"/>
      <c r="I24" s="35"/>
      <c r="J24" s="35"/>
      <c r="K24" s="35"/>
    </row>
    <row r="25" spans="1:11" ht="15.75" thickBot="1" x14ac:dyDescent="0.3">
      <c r="A25" s="55"/>
      <c r="B25" s="53"/>
      <c r="C25" s="19"/>
      <c r="D25" s="31"/>
      <c r="E25" s="35"/>
      <c r="F25" s="35"/>
      <c r="G25" s="35"/>
      <c r="H25" s="35"/>
      <c r="I25" s="35"/>
      <c r="J25" s="35"/>
      <c r="K25" s="35"/>
    </row>
    <row r="26" spans="1:11" ht="34.5" customHeight="1" thickTop="1" thickBot="1" x14ac:dyDescent="0.3">
      <c r="A26" s="101" t="s">
        <v>76</v>
      </c>
      <c r="B26" s="102"/>
      <c r="C26" s="102"/>
      <c r="D26" s="103"/>
      <c r="E26" s="35"/>
      <c r="F26" s="35"/>
      <c r="G26" s="35"/>
      <c r="H26" s="35"/>
      <c r="I26" s="35"/>
      <c r="J26" s="35"/>
      <c r="K26" s="35"/>
    </row>
    <row r="27" spans="1:11" ht="15.75" thickTop="1" x14ac:dyDescent="0.25">
      <c r="A27" s="37"/>
      <c r="B27" s="30"/>
      <c r="C27" s="19"/>
      <c r="D27" s="31"/>
      <c r="E27" s="35"/>
      <c r="F27" s="35"/>
      <c r="G27" s="35"/>
      <c r="H27" s="35"/>
      <c r="I27" s="35"/>
      <c r="J27" s="35"/>
      <c r="K27" s="35"/>
    </row>
    <row r="28" spans="1:11" x14ac:dyDescent="0.25">
      <c r="A28" s="59" t="s">
        <v>50</v>
      </c>
      <c r="B28" s="41"/>
      <c r="C28" s="42"/>
      <c r="D28" s="43"/>
      <c r="E28" s="35"/>
      <c r="F28" s="35"/>
      <c r="G28" s="35"/>
      <c r="H28" s="35"/>
      <c r="I28" s="35"/>
      <c r="J28" s="35"/>
      <c r="K28" s="35"/>
    </row>
    <row r="29" spans="1:11" x14ac:dyDescent="0.25">
      <c r="A29" s="94" t="s">
        <v>27</v>
      </c>
      <c r="B29" s="95"/>
      <c r="C29" s="95"/>
      <c r="D29" s="96"/>
      <c r="E29" s="35"/>
      <c r="F29" s="35"/>
      <c r="G29" s="35"/>
      <c r="H29" s="35"/>
      <c r="I29" s="35"/>
      <c r="J29" s="35"/>
      <c r="K29" s="35"/>
    </row>
    <row r="30" spans="1:11" x14ac:dyDescent="0.25">
      <c r="A30" s="94" t="s">
        <v>24</v>
      </c>
      <c r="B30" s="97"/>
      <c r="C30" s="97"/>
      <c r="D30" s="39"/>
      <c r="E30" s="35"/>
      <c r="F30" s="35"/>
      <c r="G30" s="35"/>
      <c r="H30" s="35"/>
      <c r="I30" s="35"/>
      <c r="J30" s="35"/>
      <c r="K30" s="35"/>
    </row>
    <row r="31" spans="1:11" ht="15.75" thickBot="1" x14ac:dyDescent="0.3">
      <c r="A31" s="59"/>
      <c r="B31" s="62"/>
      <c r="C31" s="62"/>
      <c r="D31" s="39"/>
      <c r="E31" s="35"/>
      <c r="F31" s="35"/>
      <c r="G31" s="35"/>
      <c r="H31" s="35"/>
      <c r="I31" s="35"/>
      <c r="J31" s="35"/>
      <c r="K31" s="35"/>
    </row>
    <row r="32" spans="1:11" ht="46.5" customHeight="1" thickTop="1" thickBot="1" x14ac:dyDescent="0.3">
      <c r="A32" s="98" t="s">
        <v>77</v>
      </c>
      <c r="B32" s="99"/>
      <c r="C32" s="99"/>
      <c r="D32" s="100"/>
      <c r="E32" s="35"/>
      <c r="F32" s="35"/>
      <c r="G32" s="35"/>
      <c r="H32" s="35"/>
      <c r="I32" s="35"/>
      <c r="J32" s="35"/>
      <c r="K32" s="35"/>
    </row>
    <row r="33" spans="1:11" ht="17.25" thickTop="1" thickBot="1" x14ac:dyDescent="0.3">
      <c r="A33" s="92" t="s">
        <v>83</v>
      </c>
      <c r="B33" s="93"/>
      <c r="C33" s="26"/>
      <c r="D33" s="27"/>
      <c r="E33" s="35"/>
      <c r="F33" s="35"/>
      <c r="G33" s="35"/>
      <c r="H33" s="35"/>
      <c r="I33" s="35"/>
      <c r="J33" s="35"/>
      <c r="K33" s="35"/>
    </row>
    <row r="34" spans="1:11" ht="15.75" thickTop="1" x14ac:dyDescent="0.25">
      <c r="A34" s="35"/>
      <c r="B34" s="35"/>
      <c r="C34" s="35"/>
      <c r="D34" s="35"/>
      <c r="E34" s="35"/>
      <c r="F34" s="35"/>
      <c r="G34" s="35"/>
      <c r="H34" s="35"/>
      <c r="I34" s="35"/>
      <c r="J34" s="35"/>
      <c r="K34" s="35"/>
    </row>
    <row r="35" spans="1:11" x14ac:dyDescent="0.25">
      <c r="A35" s="35"/>
      <c r="B35" s="35"/>
      <c r="C35" s="35"/>
      <c r="D35" s="35"/>
      <c r="E35" s="35"/>
      <c r="F35" s="35"/>
      <c r="G35" s="35"/>
      <c r="H35" s="35"/>
      <c r="I35" s="35"/>
      <c r="J35" s="35"/>
      <c r="K35" s="35"/>
    </row>
    <row r="36" spans="1:11" x14ac:dyDescent="0.25">
      <c r="A36" s="35"/>
      <c r="B36" s="35"/>
      <c r="C36" s="35"/>
      <c r="D36" s="35"/>
      <c r="E36" s="35"/>
      <c r="F36" s="35"/>
      <c r="G36" s="35"/>
      <c r="H36" s="35"/>
      <c r="I36" s="35"/>
      <c r="J36" s="35"/>
      <c r="K36" s="35"/>
    </row>
    <row r="37" spans="1:11" x14ac:dyDescent="0.25">
      <c r="A37" s="35"/>
      <c r="B37" s="35"/>
      <c r="C37" s="35"/>
      <c r="D37" s="35"/>
      <c r="E37" s="35"/>
      <c r="F37" s="35"/>
      <c r="G37" s="35"/>
      <c r="H37" s="35"/>
      <c r="I37" s="35"/>
      <c r="J37" s="35"/>
      <c r="K37" s="35"/>
    </row>
    <row r="38" spans="1:11" ht="16.5" x14ac:dyDescent="0.25">
      <c r="A38" s="36"/>
      <c r="B38" s="35"/>
      <c r="C38" s="35"/>
      <c r="D38" s="35"/>
      <c r="E38" s="35"/>
      <c r="F38" s="35"/>
      <c r="G38" s="35"/>
      <c r="H38" s="35"/>
      <c r="I38" s="35"/>
      <c r="J38" s="35"/>
      <c r="K38" s="35"/>
    </row>
    <row r="39" spans="1:11" ht="16.5" x14ac:dyDescent="0.25">
      <c r="A39" s="36"/>
      <c r="B39" s="35"/>
      <c r="C39" s="35"/>
      <c r="D39" s="35"/>
      <c r="E39" s="35"/>
      <c r="F39" s="35"/>
      <c r="G39" s="35"/>
      <c r="H39" s="35"/>
      <c r="I39" s="35"/>
      <c r="J39" s="35"/>
      <c r="K39" s="35"/>
    </row>
    <row r="40" spans="1:11" x14ac:dyDescent="0.25">
      <c r="A40" s="35"/>
      <c r="B40" s="35"/>
      <c r="C40" s="35"/>
      <c r="D40" s="35"/>
      <c r="E40" s="35"/>
      <c r="F40" s="35"/>
      <c r="G40" s="35"/>
      <c r="H40" s="35"/>
      <c r="I40" s="35"/>
      <c r="J40" s="35"/>
      <c r="K40" s="35"/>
    </row>
    <row r="41" spans="1:11" x14ac:dyDescent="0.25">
      <c r="A41" s="35"/>
      <c r="B41" s="35"/>
      <c r="C41" s="35"/>
      <c r="D41" s="35"/>
      <c r="E41" s="35"/>
      <c r="F41" s="35"/>
      <c r="G41" s="35"/>
      <c r="H41" s="35"/>
      <c r="I41" s="35"/>
      <c r="J41" s="35"/>
      <c r="K41" s="35"/>
    </row>
    <row r="42" spans="1:11" x14ac:dyDescent="0.25">
      <c r="A42" s="35"/>
      <c r="B42" s="35"/>
      <c r="C42" s="35"/>
      <c r="D42" s="35"/>
      <c r="E42" s="35"/>
      <c r="F42" s="35"/>
      <c r="G42" s="35"/>
      <c r="H42" s="35"/>
      <c r="I42" s="35"/>
      <c r="J42" s="35"/>
      <c r="K42" s="35"/>
    </row>
  </sheetData>
  <sheetProtection selectLockedCells="1"/>
  <mergeCells count="6">
    <mergeCell ref="A21:D23"/>
    <mergeCell ref="A33:B33"/>
    <mergeCell ref="A29:D29"/>
    <mergeCell ref="A30:C30"/>
    <mergeCell ref="A32:D32"/>
    <mergeCell ref="A26:D26"/>
  </mergeCells>
  <hyperlinks>
    <hyperlink ref="A29" r:id="rId1" display="https://www.google.com/url?sa=t&amp;rct=j&amp;q=&amp;esrc=s&amp;source=web&amp;cd=1&amp;ved=0CCsQFjAA&amp;url=http%3A%2F%2F555748.cache1.evolutionhosting.com%2Fattachments%2F0000%2F1170%2FComputing_a_BAC_Estimate.pdf&amp;ei=kvlWUsDNFIm6yAHRl4GoDw&amp;usg=AFQjCNFWsKG8pTOivw_W1XPVX1MplYOAaQ&amp;bv"/>
    <hyperlink ref="A30" r:id="rId2"/>
    <hyperlink ref="D18" r:id="rId3"/>
    <hyperlink ref="A28" r:id="rId4"/>
    <hyperlink ref="A24" r:id="rId5"/>
    <hyperlink ref="A11" r:id="rId6"/>
    <hyperlink ref="A18" location="'BAC Vs. Time'!A1" display="Click  here to see BAC over time chart"/>
    <hyperlink ref="A33" location="Background!A1" display="Click Background tab for more formula information"/>
  </hyperlinks>
  <printOptions horizontalCentered="1"/>
  <pageMargins left="0.7" right="0.7" top="0.75" bottom="0.75" header="0.3" footer="0.3"/>
  <pageSetup orientation="portrait" r:id="rId7"/>
  <drawing r:id="rId8"/>
  <extLst>
    <ext xmlns:x14="http://schemas.microsoft.com/office/spreadsheetml/2009/9/main" uri="{CCE6A557-97BC-4b89-ADB6-D9C93CAAB3DF}">
      <x14:dataValidations xmlns:xm="http://schemas.microsoft.com/office/excel/2006/main" count="6">
        <x14:dataValidation type="list" allowBlank="1" showInputMessage="1" showErrorMessage="1">
          <x14:formula1>
            <xm:f>'Pulldown Info'!$A$2:$A$3</xm:f>
          </x14:formula1>
          <xm:sqref>B10</xm:sqref>
        </x14:dataValidation>
        <x14:dataValidation type="list" allowBlank="1" showInputMessage="1" showErrorMessage="1">
          <x14:formula1>
            <xm:f>'Pulldown Info'!$B$2:$B$4</xm:f>
          </x14:formula1>
          <xm:sqref>B14</xm:sqref>
        </x14:dataValidation>
        <x14:dataValidation type="list" allowBlank="1" showInputMessage="1" showErrorMessage="1">
          <x14:formula1>
            <xm:f>'Pulldown Info'!$A$2:$A$3</xm:f>
          </x14:formula1>
          <xm:sqref>B10</xm:sqref>
        </x14:dataValidation>
        <x14:dataValidation type="list" allowBlank="1" showInputMessage="1" showErrorMessage="1">
          <x14:formula1>
            <xm:f>'Pulldown Info'!$B$2:$B$4</xm:f>
          </x14:formula1>
          <xm:sqref>B14</xm:sqref>
        </x14:dataValidation>
        <x14:dataValidation type="list" allowBlank="1" showInputMessage="1" showErrorMessage="1">
          <x14:formula1>
            <xm:f>'Pulldown Info'!$B$2:$B$4</xm:f>
          </x14:formula1>
          <xm:sqref>B14</xm:sqref>
        </x14:dataValidation>
        <x14:dataValidation type="list" allowBlank="1" showInputMessage="1" showErrorMessage="1">
          <x14:formula1>
            <xm:f>'Pulldown Info'!$A$2:$A$3</xm:f>
          </x14:formula1>
          <xm:sqref>B10</xm:sqref>
        </x14:dataValidation>
      </x14:dataValidations>
    </ex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92D050"/>
  </sheetPr>
  <dimension ref="A1:R75"/>
  <sheetViews>
    <sheetView showGridLines="0" workbookViewId="0"/>
  </sheetViews>
  <sheetFormatPr defaultRowHeight="15" x14ac:dyDescent="0.25"/>
  <cols>
    <col min="1" max="1" width="12.85546875" style="1" customWidth="1"/>
    <col min="2" max="2" width="11.5703125" style="1" customWidth="1"/>
    <col min="5" max="5" width="12" style="1" bestFit="1" customWidth="1"/>
    <col min="13" max="13" width="7.85546875" customWidth="1"/>
    <col min="16" max="16" width="16.140625" bestFit="1" customWidth="1"/>
    <col min="17" max="17" width="14" bestFit="1" customWidth="1"/>
    <col min="18" max="18" width="12.85546875" bestFit="1" customWidth="1"/>
    <col min="19" max="19" width="13.7109375" bestFit="1" customWidth="1"/>
  </cols>
  <sheetData>
    <row r="1" spans="14:17" x14ac:dyDescent="0.25">
      <c r="N1" s="3" t="s">
        <v>72</v>
      </c>
      <c r="O1" s="3" t="s">
        <v>70</v>
      </c>
      <c r="P1" s="3" t="s">
        <v>71</v>
      </c>
      <c r="Q1" s="3" t="s">
        <v>74</v>
      </c>
    </row>
    <row r="2" spans="14:17" x14ac:dyDescent="0.25">
      <c r="N2" s="2">
        <v>0</v>
      </c>
      <c r="O2" s="2">
        <f>(4.146149)*(('BAC Calc'!$B$11*'BAC Calc'!$B$12)/('BAC Calc'!$B$13*Background!$F$18))-(Background!$D$8*'BAC Vs. Time'!N2)</f>
        <v>7.3697184331797255E-2</v>
      </c>
      <c r="P2" s="61" t="str">
        <f t="shared" ref="P2:P26" si="0">IF(AND(O2&gt;0,O3&lt;0),"Almost Sober","")</f>
        <v/>
      </c>
      <c r="Q2" s="60" t="str">
        <f>IF(O2&gt;=0.08,"Legally Drunk!","")</f>
        <v/>
      </c>
    </row>
    <row r="3" spans="14:17" x14ac:dyDescent="0.25">
      <c r="N3" s="2">
        <f>1</f>
        <v>1</v>
      </c>
      <c r="O3" s="2">
        <f>(4.146149)*(('BAC Calc'!$B$11*'BAC Calc'!$B$12)/('BAC Calc'!$B$13*Background!$F$18))-(Background!$D$8*'BAC Vs. Time'!N3)</f>
        <v>6.1697184331797258E-2</v>
      </c>
      <c r="P3" s="61" t="str">
        <f t="shared" si="0"/>
        <v/>
      </c>
      <c r="Q3" s="60" t="str">
        <f t="shared" ref="Q3:Q25" si="1">IF(O3&gt;=0.08,"Legally Drunk!","")</f>
        <v/>
      </c>
    </row>
    <row r="4" spans="14:17" x14ac:dyDescent="0.25">
      <c r="N4" s="2">
        <f>N3+1</f>
        <v>2</v>
      </c>
      <c r="O4" s="2">
        <f>(4.146149)*(('BAC Calc'!$B$11*'BAC Calc'!$B$12)/('BAC Calc'!$B$13*Background!$F$18))-(Background!$D$8*'BAC Vs. Time'!N4)</f>
        <v>4.9697184331797255E-2</v>
      </c>
      <c r="P4" s="61" t="str">
        <f t="shared" si="0"/>
        <v/>
      </c>
      <c r="Q4" s="60" t="str">
        <f t="shared" si="1"/>
        <v/>
      </c>
    </row>
    <row r="5" spans="14:17" x14ac:dyDescent="0.25">
      <c r="N5" s="2">
        <f t="shared" ref="N5:N26" si="2">N4+1</f>
        <v>3</v>
      </c>
      <c r="O5" s="2">
        <f>(4.146149)*(('BAC Calc'!$B$11*'BAC Calc'!$B$12)/('BAC Calc'!$B$13*Background!$F$18))-(Background!$D$8*'BAC Vs. Time'!N5)</f>
        <v>3.7697184331797251E-2</v>
      </c>
      <c r="P5" s="61" t="str">
        <f t="shared" si="0"/>
        <v/>
      </c>
      <c r="Q5" s="60" t="str">
        <f t="shared" si="1"/>
        <v/>
      </c>
    </row>
    <row r="6" spans="14:17" x14ac:dyDescent="0.25">
      <c r="N6" s="2">
        <f t="shared" si="2"/>
        <v>4</v>
      </c>
      <c r="O6" s="2">
        <f>(4.146149)*(('BAC Calc'!$B$11*'BAC Calc'!$B$12)/('BAC Calc'!$B$13*Background!$F$18))-(Background!$D$8*'BAC Vs. Time'!N6)</f>
        <v>2.5697184331797254E-2</v>
      </c>
      <c r="P6" s="61" t="str">
        <f t="shared" si="0"/>
        <v/>
      </c>
      <c r="Q6" s="60" t="str">
        <f t="shared" si="1"/>
        <v/>
      </c>
    </row>
    <row r="7" spans="14:17" x14ac:dyDescent="0.25">
      <c r="N7" s="2">
        <f t="shared" si="2"/>
        <v>5</v>
      </c>
      <c r="O7" s="2">
        <f>(4.146149)*(('BAC Calc'!$B$11*'BAC Calc'!$B$12)/('BAC Calc'!$B$13*Background!$F$18))-(Background!$D$8*'BAC Vs. Time'!N7)</f>
        <v>1.3697184331797257E-2</v>
      </c>
      <c r="P7" s="61" t="str">
        <f t="shared" si="0"/>
        <v/>
      </c>
      <c r="Q7" s="60" t="str">
        <f t="shared" si="1"/>
        <v/>
      </c>
    </row>
    <row r="8" spans="14:17" x14ac:dyDescent="0.25">
      <c r="N8" s="2">
        <f t="shared" si="2"/>
        <v>6</v>
      </c>
      <c r="O8" s="2">
        <f>(4.146149)*(('BAC Calc'!$B$11*'BAC Calc'!$B$12)/('BAC Calc'!$B$13*Background!$F$18))-(Background!$D$8*'BAC Vs. Time'!N8)</f>
        <v>1.6971843317972468E-3</v>
      </c>
      <c r="P8" s="61" t="str">
        <f t="shared" si="0"/>
        <v>Almost Sober</v>
      </c>
      <c r="Q8" s="60" t="str">
        <f t="shared" si="1"/>
        <v/>
      </c>
    </row>
    <row r="9" spans="14:17" x14ac:dyDescent="0.25">
      <c r="N9" s="2">
        <f t="shared" si="2"/>
        <v>7</v>
      </c>
      <c r="O9" s="2">
        <f>(4.146149)*(('BAC Calc'!$B$11*'BAC Calc'!$B$12)/('BAC Calc'!$B$13*Background!$F$18))-(Background!$D$8*'BAC Vs. Time'!N9)</f>
        <v>-1.030281566820275E-2</v>
      </c>
      <c r="P9" s="61" t="str">
        <f t="shared" si="0"/>
        <v/>
      </c>
      <c r="Q9" s="60" t="str">
        <f t="shared" si="1"/>
        <v/>
      </c>
    </row>
    <row r="10" spans="14:17" x14ac:dyDescent="0.25">
      <c r="N10" s="2">
        <f t="shared" si="2"/>
        <v>8</v>
      </c>
      <c r="O10" s="2">
        <f>(4.146149)*(('BAC Calc'!$B$11*'BAC Calc'!$B$12)/('BAC Calc'!$B$13*Background!$F$18))-(Background!$D$8*'BAC Vs. Time'!N10)</f>
        <v>-2.2302815668202747E-2</v>
      </c>
      <c r="P10" s="61" t="str">
        <f t="shared" si="0"/>
        <v/>
      </c>
      <c r="Q10" s="60" t="str">
        <f t="shared" si="1"/>
        <v/>
      </c>
    </row>
    <row r="11" spans="14:17" x14ac:dyDescent="0.25">
      <c r="N11" s="2">
        <f t="shared" si="2"/>
        <v>9</v>
      </c>
      <c r="O11" s="2">
        <f>(4.146149)*(('BAC Calc'!$B$11*'BAC Calc'!$B$12)/('BAC Calc'!$B$13*Background!$F$18))-(Background!$D$8*'BAC Vs. Time'!N11)</f>
        <v>-3.4302815668202744E-2</v>
      </c>
      <c r="P11" s="61" t="str">
        <f t="shared" si="0"/>
        <v/>
      </c>
      <c r="Q11" s="60" t="str">
        <f t="shared" si="1"/>
        <v/>
      </c>
    </row>
    <row r="12" spans="14:17" x14ac:dyDescent="0.25">
      <c r="N12" s="2">
        <f t="shared" si="2"/>
        <v>10</v>
      </c>
      <c r="O12" s="2">
        <f>(4.146149)*(('BAC Calc'!$B$11*'BAC Calc'!$B$12)/('BAC Calc'!$B$13*Background!$F$18))-(Background!$D$8*'BAC Vs. Time'!N12)</f>
        <v>-4.630281566820274E-2</v>
      </c>
      <c r="P12" s="61" t="str">
        <f t="shared" si="0"/>
        <v/>
      </c>
      <c r="Q12" s="60" t="str">
        <f t="shared" si="1"/>
        <v/>
      </c>
    </row>
    <row r="13" spans="14:17" x14ac:dyDescent="0.25">
      <c r="N13" s="2">
        <f t="shared" si="2"/>
        <v>11</v>
      </c>
      <c r="O13" s="2">
        <f>(4.146149)*(('BAC Calc'!$B$11*'BAC Calc'!$B$12)/('BAC Calc'!$B$13*Background!$F$18))-(Background!$D$8*'BAC Vs. Time'!N13)</f>
        <v>-5.8302815668202751E-2</v>
      </c>
      <c r="P13" s="61" t="str">
        <f t="shared" si="0"/>
        <v/>
      </c>
      <c r="Q13" s="60" t="str">
        <f t="shared" si="1"/>
        <v/>
      </c>
    </row>
    <row r="14" spans="14:17" x14ac:dyDescent="0.25">
      <c r="N14" s="2">
        <f t="shared" si="2"/>
        <v>12</v>
      </c>
      <c r="O14" s="2">
        <f>(4.146149)*(('BAC Calc'!$B$11*'BAC Calc'!$B$12)/('BAC Calc'!$B$13*Background!$F$18))-(Background!$D$8*'BAC Vs. Time'!N14)</f>
        <v>-7.0302815668202762E-2</v>
      </c>
      <c r="P14" s="61" t="str">
        <f t="shared" si="0"/>
        <v/>
      </c>
      <c r="Q14" s="60" t="str">
        <f t="shared" si="1"/>
        <v/>
      </c>
    </row>
    <row r="15" spans="14:17" x14ac:dyDescent="0.25">
      <c r="N15" s="2">
        <f t="shared" si="2"/>
        <v>13</v>
      </c>
      <c r="O15" s="2">
        <f>(4.146149)*(('BAC Calc'!$B$11*'BAC Calc'!$B$12)/('BAC Calc'!$B$13*Background!$F$18))-(Background!$D$8*'BAC Vs. Time'!N15)</f>
        <v>-8.2302815668202745E-2</v>
      </c>
      <c r="P15" s="61" t="str">
        <f t="shared" si="0"/>
        <v/>
      </c>
      <c r="Q15" s="60" t="str">
        <f t="shared" si="1"/>
        <v/>
      </c>
    </row>
    <row r="16" spans="14:17" x14ac:dyDescent="0.25">
      <c r="N16" s="2">
        <f t="shared" si="2"/>
        <v>14</v>
      </c>
      <c r="O16" s="2">
        <f>(4.146149)*(('BAC Calc'!$B$11*'BAC Calc'!$B$12)/('BAC Calc'!$B$13*Background!$F$18))-(Background!$D$8*'BAC Vs. Time'!N16)</f>
        <v>-9.4302815668202755E-2</v>
      </c>
      <c r="P16" s="61" t="str">
        <f t="shared" si="0"/>
        <v/>
      </c>
      <c r="Q16" s="60" t="str">
        <f t="shared" si="1"/>
        <v/>
      </c>
    </row>
    <row r="17" spans="1:18" x14ac:dyDescent="0.25">
      <c r="N17" s="2">
        <f t="shared" si="2"/>
        <v>15</v>
      </c>
      <c r="O17" s="2">
        <f>(4.146149)*(('BAC Calc'!$B$11*'BAC Calc'!$B$12)/('BAC Calc'!$B$13*Background!$F$18))-(Background!$D$8*'BAC Vs. Time'!N17)</f>
        <v>-0.10630281566820274</v>
      </c>
      <c r="P17" s="61" t="str">
        <f t="shared" si="0"/>
        <v/>
      </c>
      <c r="Q17" s="60" t="str">
        <f t="shared" si="1"/>
        <v/>
      </c>
    </row>
    <row r="18" spans="1:18" x14ac:dyDescent="0.25">
      <c r="N18" s="2">
        <f t="shared" si="2"/>
        <v>16</v>
      </c>
      <c r="O18" s="2">
        <f>(4.146149)*(('BAC Calc'!$B$11*'BAC Calc'!$B$12)/('BAC Calc'!$B$13*Background!$F$18))-(Background!$D$8*'BAC Vs. Time'!N18)</f>
        <v>-0.11830281566820275</v>
      </c>
      <c r="P18" s="61" t="str">
        <f t="shared" si="0"/>
        <v/>
      </c>
      <c r="Q18" s="60" t="str">
        <f t="shared" si="1"/>
        <v/>
      </c>
    </row>
    <row r="19" spans="1:18" x14ac:dyDescent="0.25">
      <c r="N19" s="2">
        <f t="shared" si="2"/>
        <v>17</v>
      </c>
      <c r="O19" s="2">
        <f>(4.146149)*(('BAC Calc'!$B$11*'BAC Calc'!$B$12)/('BAC Calc'!$B$13*Background!$F$18))-(Background!$D$8*'BAC Vs. Time'!N19)</f>
        <v>-0.13030281566820276</v>
      </c>
      <c r="P19" s="61" t="str">
        <f t="shared" si="0"/>
        <v/>
      </c>
      <c r="Q19" s="60" t="str">
        <f t="shared" si="1"/>
        <v/>
      </c>
    </row>
    <row r="20" spans="1:18" x14ac:dyDescent="0.25">
      <c r="N20" s="2">
        <f t="shared" si="2"/>
        <v>18</v>
      </c>
      <c r="O20" s="2">
        <f>(4.146149)*(('BAC Calc'!$B$11*'BAC Calc'!$B$12)/('BAC Calc'!$B$13*Background!$F$18))-(Background!$D$8*'BAC Vs. Time'!N20)</f>
        <v>-0.14230281566820274</v>
      </c>
      <c r="P20" s="61" t="str">
        <f t="shared" si="0"/>
        <v/>
      </c>
      <c r="Q20" s="60" t="str">
        <f t="shared" si="1"/>
        <v/>
      </c>
    </row>
    <row r="21" spans="1:18" x14ac:dyDescent="0.25">
      <c r="N21" s="2">
        <f t="shared" si="2"/>
        <v>19</v>
      </c>
      <c r="O21" s="2">
        <f>(4.146149)*(('BAC Calc'!$B$11*'BAC Calc'!$B$12)/('BAC Calc'!$B$13*Background!$F$18))-(Background!$D$8*'BAC Vs. Time'!N21)</f>
        <v>-0.15430281566820275</v>
      </c>
      <c r="P21" s="61" t="str">
        <f t="shared" si="0"/>
        <v/>
      </c>
      <c r="Q21" s="60" t="str">
        <f t="shared" si="1"/>
        <v/>
      </c>
    </row>
    <row r="22" spans="1:18" x14ac:dyDescent="0.25">
      <c r="N22" s="2">
        <f t="shared" si="2"/>
        <v>20</v>
      </c>
      <c r="O22" s="2">
        <f>(4.146149)*(('BAC Calc'!$B$11*'BAC Calc'!$B$12)/('BAC Calc'!$B$13*Background!$F$18))-(Background!$D$8*'BAC Vs. Time'!N22)</f>
        <v>-0.16630281566820274</v>
      </c>
      <c r="P22" s="61" t="str">
        <f t="shared" si="0"/>
        <v/>
      </c>
      <c r="Q22" s="60" t="str">
        <f t="shared" si="1"/>
        <v/>
      </c>
    </row>
    <row r="23" spans="1:18" x14ac:dyDescent="0.25">
      <c r="N23" s="2">
        <f t="shared" si="2"/>
        <v>21</v>
      </c>
      <c r="O23" s="2">
        <f>(4.146149)*(('BAC Calc'!$B$11*'BAC Calc'!$B$12)/('BAC Calc'!$B$13*Background!$F$18))-(Background!$D$8*'BAC Vs. Time'!N23)</f>
        <v>-0.17830281566820275</v>
      </c>
      <c r="P23" s="61" t="str">
        <f t="shared" si="0"/>
        <v/>
      </c>
      <c r="Q23" s="60" t="str">
        <f t="shared" si="1"/>
        <v/>
      </c>
    </row>
    <row r="24" spans="1:18" ht="21" x14ac:dyDescent="0.35">
      <c r="A24" s="104" t="s">
        <v>91</v>
      </c>
      <c r="B24" s="105"/>
      <c r="C24" s="105"/>
      <c r="D24" s="105"/>
      <c r="E24" s="105"/>
      <c r="F24" s="105"/>
      <c r="G24" s="105"/>
      <c r="H24" s="105"/>
      <c r="I24" s="105"/>
      <c r="J24" s="105"/>
      <c r="K24" s="105"/>
      <c r="L24" s="105"/>
      <c r="N24" s="2">
        <f t="shared" si="2"/>
        <v>22</v>
      </c>
      <c r="O24" s="2">
        <f>(4.146149)*(('BAC Calc'!$B$11*'BAC Calc'!$B$12)/('BAC Calc'!$B$13*Background!$F$18))-(Background!$D$8*'BAC Vs. Time'!N24)</f>
        <v>-0.19030281566820276</v>
      </c>
      <c r="P24" s="61" t="str">
        <f t="shared" si="0"/>
        <v/>
      </c>
      <c r="Q24" s="60" t="str">
        <f t="shared" si="1"/>
        <v/>
      </c>
    </row>
    <row r="25" spans="1:18" x14ac:dyDescent="0.25">
      <c r="N25" s="2">
        <f t="shared" si="2"/>
        <v>23</v>
      </c>
      <c r="O25" s="2">
        <f>(4.146149)*(('BAC Calc'!$B$11*'BAC Calc'!$B$12)/('BAC Calc'!$B$13*Background!$F$18))-(Background!$D$8*'BAC Vs. Time'!N25)</f>
        <v>-0.20230281566820277</v>
      </c>
      <c r="P25" s="61" t="str">
        <f t="shared" si="0"/>
        <v/>
      </c>
      <c r="Q25" s="60" t="str">
        <f t="shared" si="1"/>
        <v/>
      </c>
    </row>
    <row r="26" spans="1:18" ht="15.75" thickBot="1" x14ac:dyDescent="0.3">
      <c r="A26" s="74" t="s">
        <v>88</v>
      </c>
      <c r="B26" s="80"/>
      <c r="C26" s="81"/>
      <c r="D26" s="78">
        <f>O2</f>
        <v>7.3697184331797255E-2</v>
      </c>
      <c r="E26"/>
      <c r="N26" s="2">
        <f t="shared" si="2"/>
        <v>24</v>
      </c>
      <c r="O26" s="2">
        <f>(4.146149)*(('BAC Calc'!$B$11*'BAC Calc'!$B$12)/('BAC Calc'!$B$13*Background!$F$18))-(Background!$D$8*'BAC Vs. Time'!N26)</f>
        <v>-0.21430281566820278</v>
      </c>
      <c r="P26" s="61" t="str">
        <f t="shared" si="0"/>
        <v/>
      </c>
      <c r="Q26" s="60" t="str">
        <f>IF(O26&gt;=0.08,"Legaly Drunk!","")</f>
        <v/>
      </c>
    </row>
    <row r="27" spans="1:18" ht="15.75" thickBot="1" x14ac:dyDescent="0.3">
      <c r="A27" s="74" t="s">
        <v>89</v>
      </c>
      <c r="B27" s="74"/>
      <c r="C27" s="81"/>
      <c r="D27" s="78">
        <f>IF(-(D46-'BAC Vs. Time'!O2)/Background!D8&gt;0,-(D46-'BAC Vs. Time'!O2)/Background!D8,0)</f>
        <v>0</v>
      </c>
      <c r="E27"/>
      <c r="F27" s="78">
        <f>IF(OR(D27=0,D27&gt;24),0,E75)</f>
        <v>0</v>
      </c>
      <c r="G27" s="74" t="s">
        <v>86</v>
      </c>
      <c r="H27" s="76">
        <f>IF(D27=0,0,(D27-F27)*60)</f>
        <v>0</v>
      </c>
      <c r="I27" s="74" t="s">
        <v>87</v>
      </c>
      <c r="R27" s="1"/>
    </row>
    <row r="28" spans="1:18" ht="15.75" thickBot="1" x14ac:dyDescent="0.3">
      <c r="A28" s="74" t="s">
        <v>92</v>
      </c>
      <c r="B28" s="74"/>
      <c r="C28" s="81"/>
      <c r="D28" s="79">
        <f>O2/Background!D8</f>
        <v>6.1414320276497714</v>
      </c>
      <c r="E28"/>
      <c r="F28" s="79">
        <f>IF(D75=0,0,D75)</f>
        <v>6</v>
      </c>
      <c r="G28" s="74" t="s">
        <v>86</v>
      </c>
      <c r="H28" s="77">
        <f>IF(D28=0,0,(D28-F28)*60)</f>
        <v>8.4859216589862818</v>
      </c>
      <c r="I28" s="74" t="s">
        <v>87</v>
      </c>
      <c r="N28" s="1"/>
      <c r="O28" s="1"/>
    </row>
    <row r="29" spans="1:18" ht="15.75" x14ac:dyDescent="0.25">
      <c r="A29" s="106" t="s">
        <v>79</v>
      </c>
      <c r="B29" s="106"/>
      <c r="C29" s="106"/>
      <c r="N29" s="1"/>
      <c r="O29" s="1"/>
    </row>
    <row r="30" spans="1:18" x14ac:dyDescent="0.25">
      <c r="J30" s="75"/>
      <c r="K30" s="74"/>
      <c r="N30" s="1"/>
      <c r="O30" s="1"/>
    </row>
    <row r="31" spans="1:18" x14ac:dyDescent="0.25">
      <c r="J31" s="75"/>
      <c r="K31" s="74"/>
      <c r="N31" s="1"/>
      <c r="O31" s="1"/>
    </row>
    <row r="32" spans="1:18" x14ac:dyDescent="0.25">
      <c r="J32" s="75"/>
      <c r="K32" s="74"/>
      <c r="N32" s="1"/>
      <c r="O32" s="1"/>
    </row>
    <row r="46" spans="1:4" ht="15.75" thickBot="1" x14ac:dyDescent="0.3">
      <c r="A46" s="80" t="s">
        <v>84</v>
      </c>
      <c r="B46" s="81"/>
      <c r="C46" s="74"/>
      <c r="D46" s="78">
        <v>0.08</v>
      </c>
    </row>
    <row r="47" spans="1:4" ht="15.75" thickBot="1" x14ac:dyDescent="0.3">
      <c r="A47" s="80" t="s">
        <v>85</v>
      </c>
      <c r="B47" s="81"/>
      <c r="C47" s="74"/>
      <c r="D47" s="79">
        <v>0</v>
      </c>
    </row>
    <row r="49" spans="1:6" x14ac:dyDescent="0.25">
      <c r="A49" s="3" t="s">
        <v>72</v>
      </c>
      <c r="B49" s="73" t="s">
        <v>75</v>
      </c>
      <c r="C49" s="73" t="s">
        <v>73</v>
      </c>
      <c r="D49" s="73" t="s">
        <v>71</v>
      </c>
      <c r="E49" s="73" t="s">
        <v>74</v>
      </c>
      <c r="F49" s="1"/>
    </row>
    <row r="50" spans="1:6" x14ac:dyDescent="0.25">
      <c r="A50" s="2">
        <v>0</v>
      </c>
      <c r="B50" s="2">
        <f>D47</f>
        <v>0</v>
      </c>
      <c r="C50" s="2">
        <f>D46</f>
        <v>0.08</v>
      </c>
      <c r="D50" s="61" t="str">
        <f t="shared" ref="D50:D74" si="3">IF(P2="Almost Sober",N2,"")</f>
        <v/>
      </c>
      <c r="E50" s="61" t="str">
        <f t="shared" ref="E50:E74" si="4">IF(Q2=Q3,"",N2)</f>
        <v/>
      </c>
      <c r="F50" s="1"/>
    </row>
    <row r="51" spans="1:6" x14ac:dyDescent="0.25">
      <c r="A51" s="2">
        <f>1</f>
        <v>1</v>
      </c>
      <c r="B51" s="2">
        <f>B50</f>
        <v>0</v>
      </c>
      <c r="C51" s="2">
        <f t="shared" ref="C51:C74" si="5">C50</f>
        <v>0.08</v>
      </c>
      <c r="D51" s="61" t="str">
        <f t="shared" si="3"/>
        <v/>
      </c>
      <c r="E51" s="61" t="str">
        <f t="shared" si="4"/>
        <v/>
      </c>
      <c r="F51" s="1"/>
    </row>
    <row r="52" spans="1:6" x14ac:dyDescent="0.25">
      <c r="A52" s="2">
        <f>A51+1</f>
        <v>2</v>
      </c>
      <c r="B52" s="2">
        <f t="shared" ref="B52:B74" si="6">B51</f>
        <v>0</v>
      </c>
      <c r="C52" s="2">
        <f t="shared" si="5"/>
        <v>0.08</v>
      </c>
      <c r="D52" s="61" t="str">
        <f t="shared" si="3"/>
        <v/>
      </c>
      <c r="E52" s="61" t="str">
        <f t="shared" si="4"/>
        <v/>
      </c>
      <c r="F52" s="1"/>
    </row>
    <row r="53" spans="1:6" x14ac:dyDescent="0.25">
      <c r="A53" s="2">
        <f t="shared" ref="A53:A74" si="7">A52+1</f>
        <v>3</v>
      </c>
      <c r="B53" s="2">
        <f t="shared" si="6"/>
        <v>0</v>
      </c>
      <c r="C53" s="2">
        <f t="shared" si="5"/>
        <v>0.08</v>
      </c>
      <c r="D53" s="61" t="str">
        <f t="shared" si="3"/>
        <v/>
      </c>
      <c r="E53" s="61" t="str">
        <f t="shared" si="4"/>
        <v/>
      </c>
      <c r="F53" s="1"/>
    </row>
    <row r="54" spans="1:6" x14ac:dyDescent="0.25">
      <c r="A54" s="2">
        <f t="shared" si="7"/>
        <v>4</v>
      </c>
      <c r="B54" s="2">
        <f t="shared" si="6"/>
        <v>0</v>
      </c>
      <c r="C54" s="2">
        <f t="shared" si="5"/>
        <v>0.08</v>
      </c>
      <c r="D54" s="61" t="str">
        <f t="shared" si="3"/>
        <v/>
      </c>
      <c r="E54" s="61" t="str">
        <f t="shared" si="4"/>
        <v/>
      </c>
      <c r="F54" s="1"/>
    </row>
    <row r="55" spans="1:6" x14ac:dyDescent="0.25">
      <c r="A55" s="2">
        <f t="shared" si="7"/>
        <v>5</v>
      </c>
      <c r="B55" s="2">
        <f t="shared" si="6"/>
        <v>0</v>
      </c>
      <c r="C55" s="2">
        <f t="shared" si="5"/>
        <v>0.08</v>
      </c>
      <c r="D55" s="61" t="str">
        <f t="shared" si="3"/>
        <v/>
      </c>
      <c r="E55" s="61" t="str">
        <f t="shared" si="4"/>
        <v/>
      </c>
      <c r="F55" s="1"/>
    </row>
    <row r="56" spans="1:6" x14ac:dyDescent="0.25">
      <c r="A56" s="2">
        <f t="shared" si="7"/>
        <v>6</v>
      </c>
      <c r="B56" s="2">
        <f t="shared" si="6"/>
        <v>0</v>
      </c>
      <c r="C56" s="2">
        <f t="shared" si="5"/>
        <v>0.08</v>
      </c>
      <c r="D56" s="61">
        <f t="shared" si="3"/>
        <v>6</v>
      </c>
      <c r="E56" s="61" t="str">
        <f t="shared" si="4"/>
        <v/>
      </c>
      <c r="F56" s="1"/>
    </row>
    <row r="57" spans="1:6" x14ac:dyDescent="0.25">
      <c r="A57" s="2">
        <f t="shared" si="7"/>
        <v>7</v>
      </c>
      <c r="B57" s="2">
        <f t="shared" si="6"/>
        <v>0</v>
      </c>
      <c r="C57" s="2">
        <f t="shared" si="5"/>
        <v>0.08</v>
      </c>
      <c r="D57" s="61" t="str">
        <f t="shared" si="3"/>
        <v/>
      </c>
      <c r="E57" s="61" t="str">
        <f t="shared" si="4"/>
        <v/>
      </c>
      <c r="F57" s="1"/>
    </row>
    <row r="58" spans="1:6" x14ac:dyDescent="0.25">
      <c r="A58" s="2">
        <f t="shared" si="7"/>
        <v>8</v>
      </c>
      <c r="B58" s="2">
        <f t="shared" si="6"/>
        <v>0</v>
      </c>
      <c r="C58" s="2">
        <f t="shared" si="5"/>
        <v>0.08</v>
      </c>
      <c r="D58" s="61" t="str">
        <f t="shared" si="3"/>
        <v/>
      </c>
      <c r="E58" s="61" t="str">
        <f t="shared" si="4"/>
        <v/>
      </c>
      <c r="F58" s="1"/>
    </row>
    <row r="59" spans="1:6" x14ac:dyDescent="0.25">
      <c r="A59" s="2">
        <f t="shared" si="7"/>
        <v>9</v>
      </c>
      <c r="B59" s="2">
        <f t="shared" si="6"/>
        <v>0</v>
      </c>
      <c r="C59" s="2">
        <f t="shared" si="5"/>
        <v>0.08</v>
      </c>
      <c r="D59" s="61" t="str">
        <f t="shared" si="3"/>
        <v/>
      </c>
      <c r="E59" s="61" t="str">
        <f t="shared" si="4"/>
        <v/>
      </c>
      <c r="F59" s="1"/>
    </row>
    <row r="60" spans="1:6" x14ac:dyDescent="0.25">
      <c r="A60" s="2">
        <f t="shared" si="7"/>
        <v>10</v>
      </c>
      <c r="B60" s="2">
        <f t="shared" si="6"/>
        <v>0</v>
      </c>
      <c r="C60" s="2">
        <f t="shared" si="5"/>
        <v>0.08</v>
      </c>
      <c r="D60" s="61" t="str">
        <f t="shared" si="3"/>
        <v/>
      </c>
      <c r="E60" s="61" t="str">
        <f t="shared" si="4"/>
        <v/>
      </c>
      <c r="F60" s="1"/>
    </row>
    <row r="61" spans="1:6" x14ac:dyDescent="0.25">
      <c r="A61" s="2">
        <f t="shared" si="7"/>
        <v>11</v>
      </c>
      <c r="B61" s="2">
        <f t="shared" si="6"/>
        <v>0</v>
      </c>
      <c r="C61" s="2">
        <f t="shared" si="5"/>
        <v>0.08</v>
      </c>
      <c r="D61" s="61" t="str">
        <f t="shared" si="3"/>
        <v/>
      </c>
      <c r="E61" s="61" t="str">
        <f t="shared" si="4"/>
        <v/>
      </c>
      <c r="F61" s="1"/>
    </row>
    <row r="62" spans="1:6" x14ac:dyDescent="0.25">
      <c r="A62" s="2">
        <f t="shared" si="7"/>
        <v>12</v>
      </c>
      <c r="B62" s="2">
        <f t="shared" si="6"/>
        <v>0</v>
      </c>
      <c r="C62" s="2">
        <f t="shared" si="5"/>
        <v>0.08</v>
      </c>
      <c r="D62" s="61" t="str">
        <f t="shared" si="3"/>
        <v/>
      </c>
      <c r="E62" s="61" t="str">
        <f t="shared" si="4"/>
        <v/>
      </c>
      <c r="F62" s="1"/>
    </row>
    <row r="63" spans="1:6" x14ac:dyDescent="0.25">
      <c r="A63" s="2">
        <f t="shared" si="7"/>
        <v>13</v>
      </c>
      <c r="B63" s="2">
        <f t="shared" si="6"/>
        <v>0</v>
      </c>
      <c r="C63" s="2">
        <f t="shared" si="5"/>
        <v>0.08</v>
      </c>
      <c r="D63" s="61" t="str">
        <f t="shared" si="3"/>
        <v/>
      </c>
      <c r="E63" s="61" t="str">
        <f t="shared" si="4"/>
        <v/>
      </c>
      <c r="F63" s="1"/>
    </row>
    <row r="64" spans="1:6" x14ac:dyDescent="0.25">
      <c r="A64" s="2">
        <f t="shared" si="7"/>
        <v>14</v>
      </c>
      <c r="B64" s="2">
        <f t="shared" si="6"/>
        <v>0</v>
      </c>
      <c r="C64" s="2">
        <f t="shared" si="5"/>
        <v>0.08</v>
      </c>
      <c r="D64" s="61" t="str">
        <f t="shared" si="3"/>
        <v/>
      </c>
      <c r="E64" s="61" t="str">
        <f t="shared" si="4"/>
        <v/>
      </c>
      <c r="F64" s="1"/>
    </row>
    <row r="65" spans="1:6" x14ac:dyDescent="0.25">
      <c r="A65" s="2">
        <f t="shared" si="7"/>
        <v>15</v>
      </c>
      <c r="B65" s="2">
        <f t="shared" si="6"/>
        <v>0</v>
      </c>
      <c r="C65" s="2">
        <f t="shared" si="5"/>
        <v>0.08</v>
      </c>
      <c r="D65" s="61" t="str">
        <f t="shared" si="3"/>
        <v/>
      </c>
      <c r="E65" s="61" t="str">
        <f t="shared" si="4"/>
        <v/>
      </c>
      <c r="F65" s="1"/>
    </row>
    <row r="66" spans="1:6" x14ac:dyDescent="0.25">
      <c r="A66" s="2">
        <f t="shared" si="7"/>
        <v>16</v>
      </c>
      <c r="B66" s="2">
        <f t="shared" si="6"/>
        <v>0</v>
      </c>
      <c r="C66" s="2">
        <f t="shared" si="5"/>
        <v>0.08</v>
      </c>
      <c r="D66" s="61" t="str">
        <f t="shared" si="3"/>
        <v/>
      </c>
      <c r="E66" s="61" t="str">
        <f t="shared" si="4"/>
        <v/>
      </c>
      <c r="F66" s="1"/>
    </row>
    <row r="67" spans="1:6" x14ac:dyDescent="0.25">
      <c r="A67" s="2">
        <f t="shared" si="7"/>
        <v>17</v>
      </c>
      <c r="B67" s="2">
        <f t="shared" si="6"/>
        <v>0</v>
      </c>
      <c r="C67" s="2">
        <f t="shared" si="5"/>
        <v>0.08</v>
      </c>
      <c r="D67" s="61" t="str">
        <f t="shared" si="3"/>
        <v/>
      </c>
      <c r="E67" s="61" t="str">
        <f t="shared" si="4"/>
        <v/>
      </c>
      <c r="F67" s="1"/>
    </row>
    <row r="68" spans="1:6" x14ac:dyDescent="0.25">
      <c r="A68" s="2">
        <f t="shared" si="7"/>
        <v>18</v>
      </c>
      <c r="B68" s="2">
        <f t="shared" si="6"/>
        <v>0</v>
      </c>
      <c r="C68" s="2">
        <f t="shared" si="5"/>
        <v>0.08</v>
      </c>
      <c r="D68" s="61" t="str">
        <f t="shared" si="3"/>
        <v/>
      </c>
      <c r="E68" s="61" t="str">
        <f t="shared" si="4"/>
        <v/>
      </c>
      <c r="F68" s="1"/>
    </row>
    <row r="69" spans="1:6" x14ac:dyDescent="0.25">
      <c r="A69" s="2">
        <f t="shared" si="7"/>
        <v>19</v>
      </c>
      <c r="B69" s="2">
        <f t="shared" si="6"/>
        <v>0</v>
      </c>
      <c r="C69" s="2">
        <f t="shared" si="5"/>
        <v>0.08</v>
      </c>
      <c r="D69" s="61" t="str">
        <f t="shared" si="3"/>
        <v/>
      </c>
      <c r="E69" s="61" t="str">
        <f t="shared" si="4"/>
        <v/>
      </c>
      <c r="F69" s="1"/>
    </row>
    <row r="70" spans="1:6" x14ac:dyDescent="0.25">
      <c r="A70" s="2">
        <f t="shared" si="7"/>
        <v>20</v>
      </c>
      <c r="B70" s="2">
        <f t="shared" si="6"/>
        <v>0</v>
      </c>
      <c r="C70" s="2">
        <f t="shared" si="5"/>
        <v>0.08</v>
      </c>
      <c r="D70" s="61" t="str">
        <f t="shared" si="3"/>
        <v/>
      </c>
      <c r="E70" s="61" t="str">
        <f t="shared" si="4"/>
        <v/>
      </c>
      <c r="F70" s="1"/>
    </row>
    <row r="71" spans="1:6" x14ac:dyDescent="0.25">
      <c r="A71" s="2">
        <f t="shared" si="7"/>
        <v>21</v>
      </c>
      <c r="B71" s="2">
        <f t="shared" si="6"/>
        <v>0</v>
      </c>
      <c r="C71" s="2">
        <f t="shared" si="5"/>
        <v>0.08</v>
      </c>
      <c r="D71" s="61" t="str">
        <f t="shared" si="3"/>
        <v/>
      </c>
      <c r="E71" s="61" t="str">
        <f t="shared" si="4"/>
        <v/>
      </c>
      <c r="F71" s="1"/>
    </row>
    <row r="72" spans="1:6" x14ac:dyDescent="0.25">
      <c r="A72" s="2">
        <f t="shared" si="7"/>
        <v>22</v>
      </c>
      <c r="B72" s="2">
        <f t="shared" si="6"/>
        <v>0</v>
      </c>
      <c r="C72" s="2">
        <f t="shared" si="5"/>
        <v>0.08</v>
      </c>
      <c r="D72" s="61" t="str">
        <f t="shared" si="3"/>
        <v/>
      </c>
      <c r="E72" s="61" t="str">
        <f t="shared" si="4"/>
        <v/>
      </c>
      <c r="F72" s="1"/>
    </row>
    <row r="73" spans="1:6" x14ac:dyDescent="0.25">
      <c r="A73" s="2">
        <f t="shared" si="7"/>
        <v>23</v>
      </c>
      <c r="B73" s="2">
        <f t="shared" si="6"/>
        <v>0</v>
      </c>
      <c r="C73" s="2">
        <f t="shared" si="5"/>
        <v>0.08</v>
      </c>
      <c r="D73" s="61" t="str">
        <f t="shared" si="3"/>
        <v/>
      </c>
      <c r="E73" s="61" t="str">
        <f t="shared" si="4"/>
        <v/>
      </c>
      <c r="F73" s="1"/>
    </row>
    <row r="74" spans="1:6" x14ac:dyDescent="0.25">
      <c r="A74" s="2">
        <f t="shared" si="7"/>
        <v>24</v>
      </c>
      <c r="B74" s="2">
        <f t="shared" si="6"/>
        <v>0</v>
      </c>
      <c r="C74" s="2">
        <f t="shared" si="5"/>
        <v>0.08</v>
      </c>
      <c r="D74" s="61" t="str">
        <f t="shared" si="3"/>
        <v/>
      </c>
      <c r="E74" s="61" t="str">
        <f t="shared" si="4"/>
        <v/>
      </c>
      <c r="F74" s="1"/>
    </row>
    <row r="75" spans="1:6" x14ac:dyDescent="0.25">
      <c r="C75" s="72"/>
      <c r="D75" s="72">
        <f>SUM(D50:D74)</f>
        <v>6</v>
      </c>
      <c r="E75" s="72">
        <f>SUM(E50:E74)</f>
        <v>0</v>
      </c>
    </row>
  </sheetData>
  <sheetProtection password="CA83" sheet="1" objects="1" scenarios="1"/>
  <mergeCells count="2">
    <mergeCell ref="A24:L24"/>
    <mergeCell ref="A29:C29"/>
  </mergeCells>
  <hyperlinks>
    <hyperlink ref="A29:C29" location="'BAC Calc'!A1" display="Return to BAC Calc Page"/>
  </hyperlinks>
  <pageMargins left="0.7" right="0.7" top="0.75" bottom="0.75" header="0.3" footer="0.3"/>
  <pageSetup orientation="portrait" horizont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rgb="FFFF0000"/>
  </sheetPr>
  <dimension ref="A1:G27"/>
  <sheetViews>
    <sheetView showGridLines="0" showRowColHeaders="0" workbookViewId="0">
      <selection activeCell="J29" sqref="J29"/>
    </sheetView>
  </sheetViews>
  <sheetFormatPr defaultColWidth="8.85546875" defaultRowHeight="15" x14ac:dyDescent="0.25"/>
  <cols>
    <col min="1" max="1" width="66.42578125" customWidth="1"/>
    <col min="2" max="2" width="35.28515625" customWidth="1"/>
    <col min="4" max="4" width="10.85546875" customWidth="1"/>
  </cols>
  <sheetData>
    <row r="1" spans="1:7" ht="15.75" x14ac:dyDescent="0.25">
      <c r="A1" s="65" t="s">
        <v>37</v>
      </c>
      <c r="C1" s="1"/>
      <c r="D1" s="3" t="s">
        <v>0</v>
      </c>
      <c r="E1" s="3" t="s">
        <v>1</v>
      </c>
    </row>
    <row r="2" spans="1:7" ht="15.75" x14ac:dyDescent="0.25">
      <c r="A2" s="65" t="s">
        <v>38</v>
      </c>
      <c r="C2" s="4" t="s">
        <v>34</v>
      </c>
      <c r="D2" s="2">
        <v>0.57999999999999996</v>
      </c>
      <c r="E2" s="2">
        <v>0.49</v>
      </c>
    </row>
    <row r="3" spans="1:7" ht="15.75" x14ac:dyDescent="0.25">
      <c r="A3" s="65" t="s">
        <v>39</v>
      </c>
    </row>
    <row r="4" spans="1:7" ht="15.75" x14ac:dyDescent="0.25">
      <c r="A4" s="65" t="s">
        <v>40</v>
      </c>
      <c r="C4" s="1"/>
      <c r="D4" s="3" t="s">
        <v>49</v>
      </c>
      <c r="E4" s="3" t="s">
        <v>48</v>
      </c>
    </row>
    <row r="5" spans="1:7" ht="15.75" x14ac:dyDescent="0.25">
      <c r="A5" s="69" t="s">
        <v>80</v>
      </c>
      <c r="C5" s="1"/>
      <c r="D5" s="2" t="s">
        <v>29</v>
      </c>
      <c r="E5" s="2">
        <v>0.02</v>
      </c>
    </row>
    <row r="6" spans="1:7" ht="15.75" x14ac:dyDescent="0.25">
      <c r="A6" s="7"/>
      <c r="C6" s="1"/>
      <c r="D6" s="2" t="s">
        <v>33</v>
      </c>
      <c r="E6" s="2">
        <v>1.7000000000000001E-2</v>
      </c>
    </row>
    <row r="7" spans="1:7" ht="15.75" x14ac:dyDescent="0.25">
      <c r="A7" s="8"/>
      <c r="C7" s="1"/>
      <c r="D7" s="2" t="s">
        <v>31</v>
      </c>
      <c r="E7" s="2">
        <v>1.2E-2</v>
      </c>
    </row>
    <row r="8" spans="1:7" ht="15.75" x14ac:dyDescent="0.25">
      <c r="A8" s="8"/>
      <c r="B8" s="67"/>
      <c r="C8" s="68" t="s">
        <v>53</v>
      </c>
      <c r="D8" s="66">
        <f>IF(D22="Heavy",E5,IF(D22="Moderate",E6,IF(D22="Light",E7,E7)))</f>
        <v>1.2E-2</v>
      </c>
    </row>
    <row r="9" spans="1:7" ht="15.75" x14ac:dyDescent="0.25">
      <c r="A9" s="69" t="s">
        <v>81</v>
      </c>
      <c r="C9" s="4" t="s">
        <v>22</v>
      </c>
      <c r="D9" s="1">
        <v>0.80600000000000005</v>
      </c>
    </row>
    <row r="10" spans="1:7" ht="15.75" x14ac:dyDescent="0.25">
      <c r="A10" s="70" t="s">
        <v>51</v>
      </c>
      <c r="B10" s="4"/>
      <c r="C10" s="4"/>
      <c r="D10" s="1"/>
    </row>
    <row r="11" spans="1:7" ht="15.75" x14ac:dyDescent="0.25">
      <c r="A11" s="70" t="s">
        <v>52</v>
      </c>
      <c r="C11" s="4" t="s">
        <v>23</v>
      </c>
      <c r="D11" s="1"/>
    </row>
    <row r="12" spans="1:7" x14ac:dyDescent="0.25">
      <c r="C12" s="4" t="s">
        <v>2</v>
      </c>
      <c r="D12" s="1">
        <v>3.3813999999999997E-2</v>
      </c>
      <c r="E12" s="1" t="s">
        <v>3</v>
      </c>
      <c r="F12" s="1"/>
    </row>
    <row r="13" spans="1:7" x14ac:dyDescent="0.25">
      <c r="C13" s="4" t="s">
        <v>17</v>
      </c>
      <c r="D13" s="1">
        <v>29.573529600000001</v>
      </c>
      <c r="E13" s="1" t="s">
        <v>18</v>
      </c>
      <c r="F13" s="1">
        <f>D13*D14</f>
        <v>23.333514854400001</v>
      </c>
      <c r="G13" t="s">
        <v>54</v>
      </c>
    </row>
    <row r="14" spans="1:7" ht="18" x14ac:dyDescent="0.35">
      <c r="C14" s="4" t="s">
        <v>4</v>
      </c>
      <c r="D14" s="1">
        <v>0.78900000000000003</v>
      </c>
      <c r="E14" s="1" t="s">
        <v>5</v>
      </c>
      <c r="F14" s="1"/>
    </row>
    <row r="15" spans="1:7" x14ac:dyDescent="0.25">
      <c r="C15" s="4" t="s">
        <v>20</v>
      </c>
      <c r="D15" s="1">
        <v>2.2046000000000001</v>
      </c>
      <c r="E15" s="1" t="s">
        <v>21</v>
      </c>
      <c r="F15" s="1"/>
    </row>
    <row r="16" spans="1:7" x14ac:dyDescent="0.25">
      <c r="C16" s="4" t="s">
        <v>19</v>
      </c>
      <c r="D16" s="1">
        <v>454</v>
      </c>
      <c r="E16" s="1" t="s">
        <v>13</v>
      </c>
      <c r="F16" s="1"/>
    </row>
    <row r="17" spans="1:6" x14ac:dyDescent="0.25">
      <c r="C17" s="4"/>
      <c r="D17" s="1"/>
      <c r="E17" s="1"/>
      <c r="F17" s="1"/>
    </row>
    <row r="18" spans="1:6" x14ac:dyDescent="0.25">
      <c r="C18" s="4" t="s">
        <v>9</v>
      </c>
      <c r="D18" s="5" t="str">
        <f>'BAC Calc'!B10</f>
        <v>Female</v>
      </c>
      <c r="E18" s="66" t="s">
        <v>34</v>
      </c>
      <c r="F18" s="66">
        <f>IF(D18="Male",D2,IF(D18="Female",E2,""))</f>
        <v>0.49</v>
      </c>
    </row>
    <row r="19" spans="1:6" x14ac:dyDescent="0.25">
      <c r="C19" s="4" t="s">
        <v>15</v>
      </c>
      <c r="D19" s="6">
        <f>'BAC Calc'!B11</f>
        <v>24</v>
      </c>
      <c r="E19" s="1"/>
      <c r="F19" s="1"/>
    </row>
    <row r="20" spans="1:6" x14ac:dyDescent="0.25">
      <c r="C20" s="4" t="s">
        <v>14</v>
      </c>
      <c r="D20" s="6">
        <f>'BAC Calc'!B12</f>
        <v>4.4999999999999998E-2</v>
      </c>
      <c r="E20" s="1"/>
      <c r="F20" s="1"/>
    </row>
    <row r="21" spans="1:6" x14ac:dyDescent="0.25">
      <c r="C21" s="4" t="s">
        <v>10</v>
      </c>
      <c r="D21" s="6">
        <f>'BAC Calc'!B13</f>
        <v>124</v>
      </c>
      <c r="E21" s="1"/>
      <c r="F21" s="1"/>
    </row>
    <row r="22" spans="1:6" x14ac:dyDescent="0.25">
      <c r="C22" s="4" t="s">
        <v>28</v>
      </c>
      <c r="D22" s="6" t="str">
        <f>'BAC Calc'!B14</f>
        <v>Light</v>
      </c>
      <c r="E22" s="1"/>
    </row>
    <row r="23" spans="1:6" x14ac:dyDescent="0.25">
      <c r="C23" s="4" t="s">
        <v>11</v>
      </c>
      <c r="D23" s="6">
        <f>'BAC Calc'!B15</f>
        <v>1</v>
      </c>
      <c r="E23" s="1"/>
      <c r="F23" s="1"/>
    </row>
    <row r="24" spans="1:6" x14ac:dyDescent="0.25">
      <c r="E24" s="1"/>
      <c r="F24" s="1"/>
    </row>
    <row r="25" spans="1:6" x14ac:dyDescent="0.25">
      <c r="C25" s="64" t="s">
        <v>25</v>
      </c>
      <c r="D25" s="60">
        <f>(D19*D20*D14*D13*D9)/((D21/D15)*1000*F18)*100-(D8*D23)</f>
        <v>6.1697201892455505E-2</v>
      </c>
      <c r="F25" s="1"/>
    </row>
    <row r="27" spans="1:6" x14ac:dyDescent="0.25">
      <c r="A27" s="71" t="s">
        <v>82</v>
      </c>
    </row>
  </sheetData>
  <sheetProtection password="CA83" sheet="1" objects="1" scenarios="1"/>
  <hyperlinks>
    <hyperlink ref="A27" location="'BAC Calc'!A1" display="Return to BAC Calculator"/>
  </hyperlinks>
  <pageMargins left="0.7" right="0.7" top="0.75" bottom="0.75" header="0.3" footer="0.3"/>
  <pageSetup orientation="portrait" r:id="rId1"/>
  <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20"/>
  <sheetViews>
    <sheetView zoomScale="90" zoomScaleNormal="90" zoomScalePageLayoutView="200" workbookViewId="0">
      <selection activeCell="E3" sqref="E3"/>
    </sheetView>
  </sheetViews>
  <sheetFormatPr defaultColWidth="8.85546875" defaultRowHeight="15" x14ac:dyDescent="0.25"/>
  <cols>
    <col min="2" max="2" width="12" bestFit="1" customWidth="1"/>
    <col min="5" max="5" width="63.140625" customWidth="1"/>
    <col min="6" max="6" width="59.140625" customWidth="1"/>
  </cols>
  <sheetData>
    <row r="1" spans="1:6" x14ac:dyDescent="0.25">
      <c r="A1" t="s">
        <v>7</v>
      </c>
      <c r="B1" t="s">
        <v>32</v>
      </c>
    </row>
    <row r="2" spans="1:6" x14ac:dyDescent="0.25">
      <c r="A2" t="s">
        <v>8</v>
      </c>
      <c r="B2" t="s">
        <v>29</v>
      </c>
    </row>
    <row r="3" spans="1:6" x14ac:dyDescent="0.25">
      <c r="A3" t="s">
        <v>6</v>
      </c>
      <c r="B3" t="s">
        <v>30</v>
      </c>
    </row>
    <row r="4" spans="1:6" x14ac:dyDescent="0.25">
      <c r="B4" t="s">
        <v>31</v>
      </c>
    </row>
    <row r="6" spans="1:6" x14ac:dyDescent="0.25">
      <c r="A6" s="54" t="s">
        <v>56</v>
      </c>
    </row>
    <row r="8" spans="1:6" x14ac:dyDescent="0.25">
      <c r="C8" s="1">
        <f>Background!D25</f>
        <v>6.1697201892455505E-2</v>
      </c>
    </row>
    <row r="9" spans="1:6" ht="22.5" x14ac:dyDescent="0.25">
      <c r="C9" s="50">
        <v>0.02</v>
      </c>
      <c r="D9" s="50">
        <v>3.9E-2</v>
      </c>
      <c r="E9" s="45" t="s">
        <v>57</v>
      </c>
      <c r="F9" s="51" t="str">
        <f>IF(AND($C$8&gt;=C9,$C$8&lt;C10),E9,"")</f>
        <v/>
      </c>
    </row>
    <row r="10" spans="1:6" ht="36" customHeight="1" x14ac:dyDescent="0.25">
      <c r="C10" s="50">
        <v>0.04</v>
      </c>
      <c r="D10" s="50">
        <v>6.9000000000000006E-2</v>
      </c>
      <c r="E10" s="45" t="s">
        <v>58</v>
      </c>
      <c r="F10" s="51" t="str">
        <f>IF(AND($C$8&gt;=C10,$C$8&lt;C11),E10,"")</f>
        <v>Feeling of well-being, relaxation, lower inhibitions, sensation of warmth. Euphoria. Some minor impairment of reasoning and memory, lowering of caution. Your behavior may become exaggerated and emotions intensified (Good emotions are better, bad emotions are worse)</v>
      </c>
    </row>
    <row r="11" spans="1:6" ht="35.1" customHeight="1" x14ac:dyDescent="0.25">
      <c r="C11" s="50">
        <v>7.0000000000000007E-2</v>
      </c>
      <c r="D11" s="50">
        <v>9.9000000000000005E-2</v>
      </c>
      <c r="E11" s="45" t="s">
        <v>59</v>
      </c>
      <c r="F11" s="51" t="str">
        <f t="shared" ref="F11" si="0">IF(AND($C$8&gt;=C11,$C$8&lt;C12),E11,"")</f>
        <v/>
      </c>
    </row>
    <row r="12" spans="1:6" ht="24" customHeight="1" x14ac:dyDescent="0.25">
      <c r="C12" s="50">
        <v>0.1</v>
      </c>
      <c r="D12" s="50">
        <v>0.129</v>
      </c>
      <c r="E12" s="45" t="s">
        <v>60</v>
      </c>
      <c r="F12" s="51" t="str">
        <f>IF(AND($C$8&gt;=C12,$C$8&lt;C13),E12,"")</f>
        <v/>
      </c>
    </row>
    <row r="13" spans="1:6" ht="26.1" customHeight="1" x14ac:dyDescent="0.25">
      <c r="C13" s="50">
        <v>0.13</v>
      </c>
      <c r="D13" s="50">
        <v>0.159</v>
      </c>
      <c r="E13" s="45" t="s">
        <v>61</v>
      </c>
      <c r="F13" s="51" t="str">
        <f>IF(AND($C$8&gt;=C13,$C$8&lt;C14),E13,"")</f>
        <v/>
      </c>
    </row>
    <row r="14" spans="1:6" ht="22.5" x14ac:dyDescent="0.25">
      <c r="C14" s="50">
        <v>0.16</v>
      </c>
      <c r="D14" s="50">
        <v>0.19900000000000001</v>
      </c>
      <c r="E14" s="52" t="s">
        <v>67</v>
      </c>
      <c r="F14" s="51" t="str">
        <f>IF(AND($C$8&gt;=C14,$C$8&lt;C15),E14,"")</f>
        <v/>
      </c>
    </row>
    <row r="15" spans="1:6" ht="36" customHeight="1" x14ac:dyDescent="0.25">
      <c r="C15" s="50">
        <v>0.2</v>
      </c>
      <c r="D15" s="50"/>
      <c r="E15" s="45" t="s">
        <v>62</v>
      </c>
      <c r="F15" s="51" t="str">
        <f>IF(AND($C$8&gt;=C15,$C$8&lt;C16),E15,"")</f>
        <v/>
      </c>
    </row>
    <row r="16" spans="1:6" ht="34.5" customHeight="1" x14ac:dyDescent="0.25">
      <c r="C16" s="50">
        <v>0.25</v>
      </c>
      <c r="D16" s="50"/>
      <c r="E16" s="46" t="s">
        <v>63</v>
      </c>
      <c r="F16" s="51" t="str">
        <f t="shared" ref="F16" si="1">IF(AND($C$8&gt;=C16,$C$8&lt;C17),E16,"")</f>
        <v/>
      </c>
    </row>
    <row r="17" spans="3:6" x14ac:dyDescent="0.25">
      <c r="C17" s="50">
        <v>0.3</v>
      </c>
      <c r="D17" s="50"/>
      <c r="E17" s="47" t="s">
        <v>64</v>
      </c>
      <c r="F17" s="51" t="str">
        <f>IF(AND($C$8&gt;=C17,$C$8&lt;C18),E17,"")</f>
        <v/>
      </c>
    </row>
    <row r="18" spans="3:6" x14ac:dyDescent="0.25">
      <c r="C18" s="50">
        <v>0.35</v>
      </c>
      <c r="D18" s="50"/>
      <c r="E18" s="48" t="s">
        <v>65</v>
      </c>
      <c r="F18" s="51" t="str">
        <f>IF(AND($C$8&gt;=C18,$C$8&lt;C19),E18,"")</f>
        <v/>
      </c>
    </row>
    <row r="19" spans="3:6" x14ac:dyDescent="0.25">
      <c r="C19" s="50">
        <v>0.4</v>
      </c>
      <c r="D19" s="50"/>
      <c r="E19" s="49" t="s">
        <v>66</v>
      </c>
      <c r="F19" s="51" t="str">
        <f>IF($C$8&gt;=C19,E19,"")</f>
        <v/>
      </c>
    </row>
    <row r="20" spans="3:6" ht="33.75" x14ac:dyDescent="0.25">
      <c r="F20" s="51" t="str">
        <f>IF(AND($C$8&gt;=C9,$C$8&lt;C10),E9,IF(AND($C$8&gt;=C10,$C$8&lt;C11),E10,IF(AND($C$8&gt;=C11,$C$8&lt;C12),E11,IF(AND($C$8&gt;=C12,$C$8&lt;C13),E12,IF(AND($C$8&gt;=C13,$C$8&lt;C14),E13,IF(AND($C$8&gt;=C14,$C$8&lt;C15),E14,IF(AND($C$8&gt;=C15,$C$8&lt;C16),E15,IF(AND($C$8&gt;=C16,$C$8&lt;C17),E16,IF(AND($C$8&gt;=C17,$C$8&lt;C18),E17,IF(AND($C$8&gt;=C18,$C$8&lt;C19),E18,IF($C$8&gt;=C19,E19,"")))))))))))</f>
        <v>Feeling of well-being, relaxation, lower inhibitions, sensation of warmth. Euphoria. Some minor impairment of reasoning and memory, lowering of caution. Your behavior may become exaggerated and emotions intensified (Good emotions are better, bad emotions are worse)</v>
      </c>
    </row>
  </sheetData>
  <sheetProtection password="CA83" sheet="1" objects="1" scenarios="1"/>
  <hyperlinks>
    <hyperlink ref="A6" r:id="rId1"/>
  </hyperlinks>
  <pageMargins left="0.7" right="0.7" top="0.75" bottom="0.75" header="0.3" footer="0.3"/>
  <pageSetup orientation="portrait" horizontalDpi="4294967292" verticalDpi="4294967292" r:id="rId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BAC Calc</vt:lpstr>
      <vt:lpstr>BAC Vs. Time</vt:lpstr>
      <vt:lpstr>Background</vt:lpstr>
      <vt:lpstr>Pulldown Info</vt:lpstr>
      <vt:lpstr>Drinker_Type</vt:lpstr>
      <vt:lpstr>'BAC Calc'!Print_Area</vt:lpstr>
      <vt:lpstr>Sex</vt:lpstr>
    </vt:vector>
  </TitlesOfParts>
  <Company>Lincoln University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Clay</dc:creator>
  <cp:lastModifiedBy>Rob</cp:lastModifiedBy>
  <cp:lastPrinted>2013-10-11T14:42:27Z</cp:lastPrinted>
  <dcterms:created xsi:type="dcterms:W3CDTF">2013-10-09T14:01:26Z</dcterms:created>
  <dcterms:modified xsi:type="dcterms:W3CDTF">2015-08-21T09:41:48Z</dcterms:modified>
</cp:coreProperties>
</file>